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010" tabRatio="930" activeTab="0"/>
  </bookViews>
  <sheets>
    <sheet name="приложение 1.1 2016-2017 ген" sheetId="1" r:id="rId1"/>
    <sheet name="приложение 1.2 2016-2017 ген" sheetId="2" r:id="rId2"/>
    <sheet name="приложение 1.3 2016-2017 ген" sheetId="3" r:id="rId3"/>
    <sheet name="приложение 2.2 2016-2017 ген" sheetId="4" r:id="rId4"/>
    <sheet name="приложение 3.1. 2016-2017 ген" sheetId="5" r:id="rId5"/>
    <sheet name="приложение 3.2 2016-2017 ген" sheetId="6" r:id="rId6"/>
    <sheet name="приложение 1.1 2016-2017 тр" sheetId="7" r:id="rId7"/>
    <sheet name="приложение 1.2 2013-2017 тр" sheetId="8" r:id="rId8"/>
    <sheet name="приложение 1.3 2016-2017 тр" sheetId="9" r:id="rId9"/>
    <sheet name="приложение 3 2016-2017 свод" sheetId="10" r:id="rId10"/>
    <sheet name="приложение 2.2 2013-2017 тр" sheetId="11" r:id="rId11"/>
    <sheet name="приложение 3.1 2016-2017 тр" sheetId="12" r:id="rId12"/>
    <sheet name="приложение 3.2 2016-2017 тр" sheetId="13" r:id="rId13"/>
    <sheet name="приложение 4.1 2016-2017" sheetId="14" r:id="rId14"/>
    <sheet name="приложение 4.2 2016-2017 ген" sheetId="15" r:id="rId15"/>
    <sheet name="приложение 4.2 2016-2017 тр" sheetId="16" r:id="rId16"/>
    <sheet name="приложение 4.2 2013-2017 свод" sheetId="17" r:id="rId17"/>
    <sheet name="Эконом. эффект" sheetId="18" r:id="rId18"/>
    <sheet name="приложение 6 2010 - 2020" sheetId="19" r:id="rId19"/>
    <sheet name="Лист1" sheetId="20" r:id="rId20"/>
  </sheets>
  <externalReferences>
    <externalReference r:id="rId23"/>
    <externalReference r:id="rId24"/>
    <externalReference r:id="rId25"/>
  </externalReferences>
  <definedNames>
    <definedName name="_xlnm.Print_Area" localSheetId="0">'приложение 1.1 2016-2017 ген'!$A$1:$Y$33</definedName>
    <definedName name="_xlnm.Print_Area" localSheetId="6">'приложение 1.1 2016-2017 тр'!$A$1:$Y$71</definedName>
    <definedName name="_xlnm.Print_Area" localSheetId="7">'приложение 1.2 2013-2017 тр'!$A$1:$U$65</definedName>
    <definedName name="_xlnm.Print_Area" localSheetId="1">'приложение 1.2 2016-2017 ген'!$A$1:$U$29</definedName>
    <definedName name="_xlnm.Print_Area" localSheetId="2">'приложение 1.3 2016-2017 ген'!$A$1:$Y$29</definedName>
    <definedName name="_xlnm.Print_Area" localSheetId="8">'приложение 1.3 2016-2017 тр'!$A$1:$W$40</definedName>
    <definedName name="_xlnm.Print_Area" localSheetId="10">'приложение 2.2 2013-2017 тр'!$A$1:$W$56</definedName>
    <definedName name="_xlnm.Print_Area" localSheetId="3">'приложение 2.2 2016-2017 ген'!$A$1:$W$36</definedName>
    <definedName name="_xlnm.Print_Area" localSheetId="9">'приложение 3 2016-2017 свод'!$A$1:$DZ$54</definedName>
    <definedName name="_xlnm.Print_Area" localSheetId="11">'приложение 3.1 2016-2017 тр'!$A$1:$D$44</definedName>
    <definedName name="_xlnm.Print_Area" localSheetId="5">'приложение 3.2 2016-2017 ген'!$A$1:$N$32</definedName>
    <definedName name="_xlnm.Print_Area" localSheetId="12">'приложение 3.2 2016-2017 тр'!$A$1:$O$43</definedName>
    <definedName name="_xlnm.Print_Area" localSheetId="13">'приложение 4.1 2016-2017'!$A$1:$I$190</definedName>
    <definedName name="_xlnm.Print_Area" localSheetId="16">'приложение 4.2 2013-2017 свод'!$A$1:$I$52</definedName>
    <definedName name="_xlnm.Print_Area" localSheetId="14">'приложение 4.2 2016-2017 ген'!$A$1:$I$53</definedName>
    <definedName name="_xlnm.Print_Area" localSheetId="15">'приложение 4.2 2016-2017 тр'!$A$1:$I$50</definedName>
    <definedName name="_xlnm.Print_Area" localSheetId="18">'приложение 6 2010 - 2020'!$A$1:$L$176</definedName>
    <definedName name="_xlnm.Print_Area" localSheetId="17">'Эконом. эффект'!$A$1:$N$19</definedName>
  </definedNames>
  <calcPr fullCalcOnLoad="1"/>
</workbook>
</file>

<file path=xl/sharedStrings.xml><?xml version="1.0" encoding="utf-8"?>
<sst xmlns="http://schemas.openxmlformats.org/spreadsheetml/2006/main" count="1457" uniqueCount="552">
  <si>
    <t>Камчатский край</t>
  </si>
  <si>
    <t>п. Октябрьский Усть-Большерецкого района</t>
  </si>
  <si>
    <t>Плановый объем финансирования, тыс. руб.</t>
  </si>
  <si>
    <t>тыс.рублей</t>
  </si>
  <si>
    <t>Приложение  № 6</t>
  </si>
  <si>
    <t>Стоимость объекта,
тыс.рублей</t>
  </si>
  <si>
    <t xml:space="preserve">План 2011 года </t>
  </si>
  <si>
    <t>к приказу Минэнерго России</t>
  </si>
  <si>
    <t>от «___»________2010 г. №____</t>
  </si>
  <si>
    <t>Утверждаю</t>
  </si>
  <si>
    <t>«___»________ 20__ года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</si>
  <si>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</si>
  <si>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</si>
  <si>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</si>
  <si>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</si>
  <si>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</si>
  <si>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окончания 
строительства</t>
  </si>
  <si>
    <t>Ввод мощностей</t>
  </si>
  <si>
    <t>Итого</t>
  </si>
  <si>
    <t>С/П*</t>
  </si>
  <si>
    <t>МВт/Гкал/ч/км/МВА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</si>
  <si>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</si>
  <si>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</si>
  <si>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</si>
  <si>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1.2.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</si>
  <si>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</si>
  <si>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</si>
  <si>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</si>
  <si>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</si>
  <si>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</si>
  <si>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</si>
  <si>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</si>
  <si>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</si>
  <si>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Справочно:</t>
  </si>
  <si>
    <t>* С - строительство, П- проектирование</t>
  </si>
  <si>
    <t>** - согласно проектной документации в текущих ценах (с НДС)</t>
  </si>
  <si>
    <t>**** - в прогнозных ценах соответствующего года</t>
  </si>
  <si>
    <t>Генеральный директор</t>
  </si>
  <si>
    <t>Приложение  № 1.2</t>
  </si>
  <si>
    <t>Наименование объекта*</t>
  </si>
  <si>
    <t>Технические характеристики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</si>
  <si>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</si>
  <si>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</si>
  <si>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</si>
  <si>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</si>
  <si>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</si>
  <si>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</si>
  <si>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</si>
  <si>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</si>
  <si>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</si>
  <si>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</si>
  <si>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</si>
  <si>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</si>
  <si>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</si>
  <si>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</si>
  <si>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</si>
  <si>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</si>
  <si>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</si>
  <si>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</si>
  <si>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</si>
  <si>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</si>
  <si>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</si>
  <si>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</si>
  <si>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№ п/п</t>
  </si>
  <si>
    <t>Наименование проекта</t>
  </si>
  <si>
    <t>МВт, Гкал/час, км, МВА</t>
  </si>
  <si>
    <t>1.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</si>
  <si>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</si>
  <si>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</si>
  <si>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</si>
  <si>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</si>
  <si>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</si>
  <si>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</si>
  <si>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</si>
  <si>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Процент 
освоения 
сметной стоимости
на 01.01 года N, %</t>
  </si>
  <si>
    <t>Техническая 
готовность 
объекта
на 01.01.2011, %
**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</si>
  <si>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</si>
  <si>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</si>
  <si>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</si>
  <si>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</si>
  <si>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</si>
  <si>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</si>
  <si>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</si>
  <si>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</si>
  <si>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</si>
  <si>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</si>
  <si>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</si>
  <si>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</si>
  <si>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</si>
  <si>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</si>
  <si>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</si>
  <si>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</si>
  <si>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</si>
  <si>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</si>
  <si>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</si>
  <si>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</si>
  <si>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</si>
  <si>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</si>
  <si>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</si>
  <si>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</si>
  <si>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</si>
  <si>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</si>
  <si>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Налог на прибыль</t>
  </si>
  <si>
    <t>EBITDA</t>
  </si>
  <si>
    <t>№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</si>
  <si>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</si>
  <si>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</si>
  <si>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</si>
  <si>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</si>
  <si>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2.4.</t>
  </si>
  <si>
    <t>2.5.</t>
  </si>
  <si>
    <t>3.1.</t>
  </si>
  <si>
    <t>5.1.</t>
  </si>
  <si>
    <t>5.2.</t>
  </si>
  <si>
    <t>5.3.</t>
  </si>
  <si>
    <t>5.4.</t>
  </si>
  <si>
    <t>5.5.</t>
  </si>
  <si>
    <t>1.5.</t>
  </si>
  <si>
    <t>Финансовый план на период реализации инвестиционной программы
(заполняется по финансированию)</t>
  </si>
  <si>
    <t>Показатели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</si>
  <si>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</si>
  <si>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</si>
  <si>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</si>
  <si>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</si>
  <si>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</si>
  <si>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</si>
  <si>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</si>
  <si>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</si>
  <si>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</si>
  <si>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</si>
  <si>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</si>
  <si>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</si>
  <si>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</si>
  <si>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</si>
  <si>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</si>
  <si>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</si>
  <si>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</si>
  <si>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</si>
  <si>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Платежи по аренде и лизингу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</si>
  <si>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</si>
  <si>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</si>
  <si>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</si>
  <si>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</si>
  <si>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</si>
  <si>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</si>
  <si>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</si>
  <si>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</si>
  <si>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</si>
  <si>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</si>
  <si>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</si>
  <si>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</si>
  <si>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</si>
  <si>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</si>
  <si>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</si>
  <si>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</si>
  <si>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</si>
  <si>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</si>
  <si>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</si>
  <si>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</si>
  <si>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</si>
  <si>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</si>
  <si>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</si>
  <si>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</si>
  <si>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</si>
  <si>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</si>
  <si>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</si>
  <si>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</si>
  <si>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</si>
  <si>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</si>
  <si>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</si>
  <si>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</si>
  <si>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</si>
  <si>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</si>
  <si>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</si>
  <si>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</si>
  <si>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</si>
  <si>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</si>
  <si>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</si>
  <si>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</si>
  <si>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</si>
  <si>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</si>
  <si>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</si>
  <si>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</si>
  <si>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</si>
  <si>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</si>
  <si>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</si>
  <si>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</si>
  <si>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</si>
  <si>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</si>
  <si>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</si>
  <si>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</si>
  <si>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</t>
  </si>
  <si>
    <t>Источник финансирования</t>
  </si>
  <si>
    <t>Собственные средства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</si>
  <si>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</si>
  <si>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</si>
  <si>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</si>
  <si>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</si>
  <si>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</si>
  <si>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</si>
  <si>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</si>
  <si>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</si>
  <si>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</si>
  <si>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</si>
  <si>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</si>
  <si>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1.2.1.</t>
  </si>
  <si>
    <t>Амортизация, учтенная в тарифе</t>
  </si>
  <si>
    <t>1.2.2.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</si>
  <si>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</si>
  <si>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</si>
  <si>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</si>
  <si>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</si>
  <si>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</si>
  <si>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</si>
  <si>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</si>
  <si>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</si>
  <si>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</si>
  <si>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</si>
  <si>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</si>
  <si>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</si>
  <si>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</si>
  <si>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тыс. рублей</t>
  </si>
  <si>
    <t>другие прочие</t>
  </si>
  <si>
    <t>Работы и услуги произв.хар-ра</t>
  </si>
  <si>
    <t>Полезный отпуск электроэнергии, утвержденный Рег.службой, тыс. кВтч</t>
  </si>
  <si>
    <t>РУТ, тн.</t>
  </si>
  <si>
    <t>РНТ, тн</t>
  </si>
  <si>
    <t>цена, руб/кВтч</t>
  </si>
  <si>
    <t>Утверждено РСТ</t>
  </si>
  <si>
    <t>покупная, тыс. кВтч</t>
  </si>
  <si>
    <t>Заместитель генерального директора по финансово-экономической и энергосбытовой деятельности</t>
  </si>
  <si>
    <t>И.В. Семчева</t>
  </si>
  <si>
    <t>Примечание: План финансирования 2011 года включает дополнительную прибыль, полученную по итогам работы за 2010 - 2011 гг., с 2017 года необходимо привлечение кредитных средств в размере 17517 тыс. рублей. на замену КТПН</t>
  </si>
  <si>
    <t xml:space="preserve">Полная 
стоимость 
строительства </t>
  </si>
  <si>
    <t>0,63 МВА</t>
  </si>
  <si>
    <t>0,4 МВА</t>
  </si>
  <si>
    <t>в соответствии 
с проектно-
сметной 
документацией</t>
  </si>
  <si>
    <t>Наличие исходно-разрешительной документации (для нового строительства)</t>
  </si>
  <si>
    <t xml:space="preserve">План 2018 года </t>
  </si>
  <si>
    <t xml:space="preserve"> 2.1.1.</t>
  </si>
  <si>
    <t xml:space="preserve"> 2.2.2.</t>
  </si>
  <si>
    <t>Кредиты, в т.ч.</t>
  </si>
  <si>
    <t>тело кредита</t>
  </si>
  <si>
    <t>СПРАВОЧНО: проценты по кредиту</t>
  </si>
  <si>
    <t>Тело кредита</t>
  </si>
  <si>
    <t xml:space="preserve">Наименование контрольных этапов реализации инвестпроекта </t>
  </si>
  <si>
    <t>Срок</t>
  </si>
  <si>
    <t>Процентов по обслуживанию кредита</t>
  </si>
  <si>
    <t>Необходимая валовая выручка (без учета процентов по кредиту на финансирование инвест.программы)</t>
  </si>
  <si>
    <t>выработка, тыс. кВтч</t>
  </si>
  <si>
    <t>собственные нужды, тыс. кВтч</t>
  </si>
  <si>
    <t>отпуск с шин, тыс. кВтч</t>
  </si>
  <si>
    <t>УРУТ, г/кВтч</t>
  </si>
  <si>
    <t>цена, руб/т</t>
  </si>
  <si>
    <t>стоимость топлива, тыс. руб.</t>
  </si>
  <si>
    <t xml:space="preserve">стоимость, тыс. руб.   </t>
  </si>
  <si>
    <t>Средний тариф (без учета погашения процентов по кредиту на финансирование инвест.программы), руб/кВтч</t>
  </si>
  <si>
    <t>в т.ч. по новому оборудованию</t>
  </si>
  <si>
    <t>Срок ввода</t>
  </si>
  <si>
    <t>ВСЕГО</t>
  </si>
  <si>
    <t>Срок службы, лет</t>
  </si>
  <si>
    <t>годовая норма амортизации, %</t>
  </si>
  <si>
    <t>Балансовая стоимость, тыс. руб.</t>
  </si>
  <si>
    <t>кол-во месяцев в году ввода</t>
  </si>
  <si>
    <t>эффект</t>
  </si>
  <si>
    <t>ДГ-1</t>
  </si>
  <si>
    <t>ДГ-2</t>
  </si>
  <si>
    <t>ДГ-3</t>
  </si>
  <si>
    <t>ДГ-4</t>
  </si>
  <si>
    <t>Тариф собственной генерации с учетом погашения процентов по кредиту, руб/кВтч</t>
  </si>
  <si>
    <t>Прогнозируемый средний тариф с учетом снижения УРУТ и экономии топлива</t>
  </si>
  <si>
    <t>Прогнозируемое снижение тарифа, в %</t>
  </si>
  <si>
    <t>Возврат НДС по новому оборудованию</t>
  </si>
  <si>
    <t>Дополнительные расходы по вводу нового оборудования (удорожание оборудования, транспортные, погрузочно-разгрузочные работы, демонтаж старого оборудования, пуско-наладочные, разрешительные и надзорные работы)</t>
  </si>
  <si>
    <t>в т.ч. за счет амортизационных отчислений по новому оборудованию</t>
  </si>
  <si>
    <t>Установка дизель генератора производства Caterpillar</t>
  </si>
  <si>
    <t>Вид деятельности: Транзит электроэнергии</t>
  </si>
  <si>
    <t xml:space="preserve">Федеральный закон от 23.11.2009 № 261-ФЗ «Об энергосбережении и о повышении энергетической эффективности» </t>
  </si>
  <si>
    <t>дизельное</t>
  </si>
  <si>
    <t>100 % износ оборудования, дополнительный износ, связанный с увеличением нагрузки на покрытие дефицита мощности в период путины 2010 года</t>
  </si>
  <si>
    <t>Вид деятельности: Генерация электроэнергии</t>
  </si>
  <si>
    <t>Генерация</t>
  </si>
  <si>
    <t>Транзит+сбыт</t>
  </si>
  <si>
    <t>3.1.1.</t>
  </si>
  <si>
    <t>3.1.2.</t>
  </si>
  <si>
    <t>5.5.1.</t>
  </si>
  <si>
    <t>5.5.2.</t>
  </si>
  <si>
    <t>5.4.1.</t>
  </si>
  <si>
    <t>5.4.2.</t>
  </si>
  <si>
    <t>Вид деятельности: свод</t>
  </si>
  <si>
    <t>Амортизация нового оборудования</t>
  </si>
  <si>
    <t>Прочая прибыль (проценты по кредитам)</t>
  </si>
  <si>
    <t>Кредит</t>
  </si>
  <si>
    <t>Необходимая валовая выручка (с учетом средств на финансирование инвест.программы)</t>
  </si>
  <si>
    <t>Средний тариф c учетом средств на финансирование инвест.программы, руб/кВтч</t>
  </si>
  <si>
    <t>Закупка и установка счетчиков для системы АСКУЭ</t>
  </si>
  <si>
    <t>Прочее</t>
  </si>
  <si>
    <t>длина 
ВЛ, КЛ
км</t>
  </si>
  <si>
    <t>Необходимость замены физически и морально изношенного оборудования, износ 100%, повышение надежности и энергоэффективности работы, обеспечение вновь присоединенных мощностей потребителей</t>
  </si>
  <si>
    <t>Производственная необходимость</t>
  </si>
  <si>
    <t>ОАО "КЭС им. И.А. Пискунова"</t>
  </si>
  <si>
    <t xml:space="preserve">Амортизация </t>
  </si>
  <si>
    <t>Вывод мощностей</t>
  </si>
  <si>
    <t>Прокладка оптоволоконного кабеля АСУТП</t>
  </si>
  <si>
    <t>Повышение надежности энергоснабжения и селективности защит</t>
  </si>
  <si>
    <t xml:space="preserve">с НДС </t>
  </si>
  <si>
    <t>с НДС</t>
  </si>
  <si>
    <t>Отпуск с шин, тыс. кВтч</t>
  </si>
  <si>
    <t>Удельный расход условного топлива, г/кВтч</t>
  </si>
  <si>
    <t>Расход условного топлива, тыс.т</t>
  </si>
  <si>
    <t>Расход натурального топлива, тыс.т</t>
  </si>
  <si>
    <t>Экономия, тыс. руб.</t>
  </si>
  <si>
    <t xml:space="preserve">Генеральный директор </t>
  </si>
  <si>
    <t>И.И. Пискунова</t>
  </si>
  <si>
    <t>Закупка  снегохода</t>
  </si>
  <si>
    <t>______________И.И. Пискунова</t>
  </si>
  <si>
    <t>Установка молниеотвода склада ГСМ ДЭС-5</t>
  </si>
  <si>
    <t>Требования Правил промышленной безопасности нефтебаз и складов нефтепродуктов (ПБ 09-560-03)</t>
  </si>
  <si>
    <t xml:space="preserve">Не требуется </t>
  </si>
  <si>
    <t>другие прочие (в т.ч. недополученные и излишне полученные)</t>
  </si>
  <si>
    <t>* - в том числе за счет амортизационных отчислений по новому оборудованию.</t>
  </si>
  <si>
    <t>Финансовый план на период реализации инвестиционной программы по видам деятельности
(заполняется по финансированию)</t>
  </si>
  <si>
    <t>Выручка от основной деятельности 
(по видам регулируемой деятельности)</t>
  </si>
  <si>
    <t>Выручка от прочей деятельности</t>
  </si>
  <si>
    <t>2.1.1.</t>
  </si>
  <si>
    <t>2.1.2.</t>
  </si>
  <si>
    <t>+</t>
  </si>
  <si>
    <t>2.3.</t>
  </si>
  <si>
    <t>1х0,4;</t>
  </si>
  <si>
    <t>1х0,63;</t>
  </si>
  <si>
    <t>Реконструкция градирни</t>
  </si>
  <si>
    <t>Реконструкция здания ДЭС-5, в т.ч.:</t>
  </si>
  <si>
    <t>Амортизация</t>
  </si>
  <si>
    <t>3.2.</t>
  </si>
  <si>
    <t>Привлеченные средства, в т.ч.:</t>
  </si>
  <si>
    <t>Прибыль, направляемая на инвестиции:</t>
  </si>
  <si>
    <t>1.1.6.</t>
  </si>
  <si>
    <t>—</t>
  </si>
  <si>
    <t>2,0 МВА</t>
  </si>
  <si>
    <t>1,25 МВА</t>
  </si>
  <si>
    <t>ВСЕГО, в т.ч.</t>
  </si>
  <si>
    <t xml:space="preserve"> +</t>
  </si>
  <si>
    <t>1.1.7.</t>
  </si>
  <si>
    <t>1,4 МВА</t>
  </si>
  <si>
    <t>Обеспечение качества и оперативности учета отпущенной электроэнергии, исключение коммерческих потерь</t>
  </si>
  <si>
    <t>Повышение качества электрической энергии, увеличение пропускной способности сетей и поддержание уровня напряжения</t>
  </si>
  <si>
    <t>Повышение надежности энергоснабжения, оперативности переключений</t>
  </si>
  <si>
    <t>без НДС</t>
  </si>
  <si>
    <t>Производственная необходимость: существующая градирня не обеспечивает технологический режим работы дизель-генераторов по температурному режиму</t>
  </si>
  <si>
    <t>Замена электрооборудования трансформаторной подстанции</t>
  </si>
  <si>
    <t>УТВЕРЖДЕНО ВСЕГО</t>
  </si>
  <si>
    <t>01.01.2018 г.</t>
  </si>
  <si>
    <t>* указан срок ввода в эксплуатацию</t>
  </si>
  <si>
    <t>начало                                                    *(квартал)</t>
  </si>
  <si>
    <t>окончание                                          *(квартал)</t>
  </si>
  <si>
    <t>тыс.  рублей</t>
  </si>
  <si>
    <t>2.1.3.</t>
  </si>
  <si>
    <t>Перевод на электроотопление объектов п.Октябрьский</t>
  </si>
  <si>
    <t>1.1.8.</t>
  </si>
  <si>
    <t>Реконструкция 2 секции ЗРУ-6 кВ</t>
  </si>
  <si>
    <t>1.1.9.</t>
  </si>
  <si>
    <t>1.1.5.</t>
  </si>
  <si>
    <t>-</t>
  </si>
  <si>
    <t>31.03.2018 г.</t>
  </si>
  <si>
    <t xml:space="preserve">         ______________И.И. Пискунова</t>
  </si>
  <si>
    <t>2х1,0;</t>
  </si>
  <si>
    <t>1х0,4; 1х1,0;</t>
  </si>
  <si>
    <t>1х0,25;1х1,0;</t>
  </si>
  <si>
    <t>6,31 МВА</t>
  </si>
  <si>
    <t>Замена электрооборудования 5-ти трансформаторных подстанций</t>
  </si>
  <si>
    <t>5,68 МВА</t>
  </si>
  <si>
    <t>Необходимость замены физически и морально изношенного оборудования, повышение надежности и энергоэффективности работы</t>
  </si>
  <si>
    <t xml:space="preserve">Повышение надежности энергоснабжения и селективности защит, увеличение пропускной способности сетей </t>
  </si>
  <si>
    <t>Строительство ТП</t>
  </si>
  <si>
    <t xml:space="preserve">Реконструкция РП - 6 кВ </t>
  </si>
  <si>
    <t xml:space="preserve">Факт 2013 года </t>
  </si>
  <si>
    <t xml:space="preserve">Факт 2014 года </t>
  </si>
  <si>
    <t>10.1.</t>
  </si>
  <si>
    <t>10.2.</t>
  </si>
  <si>
    <t>Процентов по обслуживанию кредита*</t>
  </si>
  <si>
    <t>от 24 марта 2010 г. № 114</t>
  </si>
  <si>
    <t>(в ред. от 1 августа 2012 г.)</t>
  </si>
  <si>
    <t>года</t>
  </si>
  <si>
    <t>М. П.</t>
  </si>
  <si>
    <t>Наименование</t>
  </si>
  <si>
    <t>Ввод мощностей*</t>
  </si>
  <si>
    <t>Первоначальная</t>
  </si>
  <si>
    <t>Ввод основных средств сетевых организаций</t>
  </si>
  <si>
    <t>п/п</t>
  </si>
  <si>
    <t>проекта</t>
  </si>
  <si>
    <t>МВт, Гкал/час, км, МВ·А</t>
  </si>
  <si>
    <t>стоимость вво-</t>
  </si>
  <si>
    <t>План</t>
  </si>
  <si>
    <t>димых основных</t>
  </si>
  <si>
    <t>I кв.</t>
  </si>
  <si>
    <t>II кв.</t>
  </si>
  <si>
    <t>III кв.</t>
  </si>
  <si>
    <t>IV кв.</t>
  </si>
  <si>
    <t>средств</t>
  </si>
  <si>
    <t>(без НДС)**</t>
  </si>
  <si>
    <t>млн руб.</t>
  </si>
  <si>
    <t>км/МВ·А/другое***</t>
  </si>
  <si>
    <t>*</t>
  </si>
  <si>
    <t>Не заполняется сетевыми организациями.</t>
  </si>
  <si>
    <t>**</t>
  </si>
  <si>
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</t>
  </si>
  <si>
    <t>основных средств (без НДС) в результате технического перевооружения и реконструкции.</t>
  </si>
  <si>
    <t>***</t>
  </si>
  <si>
    <t>Иные натуральные количественные показатели объектов основных средств.</t>
  </si>
  <si>
    <t>Примечание: для сетевых объектов с разделением объектов на подстанции, воздушные линии и кабельные линии.</t>
  </si>
  <si>
    <t>Приложение № 3.1</t>
  </si>
  <si>
    <t>Семчева И.В.</t>
  </si>
  <si>
    <t>Факт</t>
  </si>
  <si>
    <t xml:space="preserve">Факт </t>
  </si>
  <si>
    <t>Приложение  № 3</t>
  </si>
  <si>
    <t>Строительство КТПН</t>
  </si>
  <si>
    <t>Генеральный директор АО "КЭС"</t>
  </si>
  <si>
    <t>Реконструкция системы освещения ДЭС-5</t>
  </si>
  <si>
    <t>*** - для сетевых организаций, переходящих на метод тарифного регулирования RAB, горизонт планирования может быть больше</t>
  </si>
  <si>
    <t>год 
начала 
строительства</t>
  </si>
  <si>
    <t>Приборы, в т.ч.:</t>
  </si>
  <si>
    <t>Вольтамперфазометр ПАРМА ВАФ-А</t>
  </si>
  <si>
    <t>Оргтехника в т.ч.:</t>
  </si>
  <si>
    <t>Базовый блок Самсунг</t>
  </si>
  <si>
    <t>Компьютер в комплекте ASUS B85</t>
  </si>
  <si>
    <t>_______________ Пискунова И.И.</t>
  </si>
  <si>
    <t>31.12.2016 г.</t>
  </si>
  <si>
    <t>01.10.2016 г.</t>
  </si>
  <si>
    <t>3</t>
  </si>
  <si>
    <t>Амортизационные отчисления, тыс. руб.</t>
  </si>
  <si>
    <t>2.1.4.</t>
  </si>
  <si>
    <t>4.1.</t>
  </si>
  <si>
    <t>4.1.1.</t>
  </si>
  <si>
    <t>4.1.2.</t>
  </si>
  <si>
    <t>4.2.</t>
  </si>
  <si>
    <t>4.2.1.</t>
  </si>
  <si>
    <t>4.2.2.</t>
  </si>
  <si>
    <t>2013-2017 гг.</t>
  </si>
  <si>
    <t>13.1.</t>
  </si>
  <si>
    <t>13.2.</t>
  </si>
  <si>
    <t>13.1.1.</t>
  </si>
  <si>
    <t>13.1.2.</t>
  </si>
  <si>
    <t>13.2.1.</t>
  </si>
  <si>
    <t>13.2.2.</t>
  </si>
  <si>
    <t xml:space="preserve">Факт 2015 года </t>
  </si>
  <si>
    <t>Реконструкция ВЛ - 6 кВ</t>
  </si>
  <si>
    <t>Реконструкция ВЛ - 6 кВ (2 этап)</t>
  </si>
  <si>
    <t>Факт 2013</t>
  </si>
  <si>
    <t>Факт 2014</t>
  </si>
  <si>
    <t>Факт 2015</t>
  </si>
  <si>
    <t>План 2017</t>
  </si>
  <si>
    <t>Ожидаемый  2015 г.</t>
  </si>
  <si>
    <t>2013 - 2017 гг.</t>
  </si>
  <si>
    <t>Расчет экономического эффекта от ввода нового оборудования при реализации Инвестиционной программы  АО "КЭС" на 2013-2017 гг.</t>
  </si>
  <si>
    <t>Прибыль до налогообложения (III + IV)</t>
  </si>
  <si>
    <t>Полезный отпуск электроэнергии, утвержденный РСТ и Ц КК, тыс. кВтч</t>
  </si>
  <si>
    <t>Утверждено генерация</t>
  </si>
  <si>
    <t>Утверждено транзит, всего</t>
  </si>
  <si>
    <t>Откорректировано транзит, всего</t>
  </si>
  <si>
    <t>Откорректировано генерация, всего</t>
  </si>
  <si>
    <t>ОТКОРРЕКТИРОВАНО ВСЕГО</t>
  </si>
  <si>
    <t>4.2.3.</t>
  </si>
  <si>
    <t>Компьютер в комплекте ASUS B85/i3/4Gb/500Gb</t>
  </si>
  <si>
    <t>Остаточная стоимость строительства на 01.01.2017</t>
  </si>
  <si>
    <t>План 
финансирования 
2017 года</t>
  </si>
  <si>
    <t>Выполнение (план)</t>
  </si>
  <si>
    <t>Комплект мебели для офиса "Энергосбыта"</t>
  </si>
  <si>
    <t>Сейф FRS-75T KL</t>
  </si>
  <si>
    <t>Кухня для офиса "Энергосбыта"</t>
  </si>
  <si>
    <t>Системный блок ASUS</t>
  </si>
  <si>
    <t>Ноутбук HP Probook</t>
  </si>
  <si>
    <t>Сигнализация, в т.ч.:</t>
  </si>
  <si>
    <t>Производственный и хозяйственный инвентарь, в т.ч.:</t>
  </si>
  <si>
    <t>Охранно-пожарная сигнализация</t>
  </si>
  <si>
    <t>Реконструкция 1 секции ЗРУ-6 кВ, РУСН-0.4 кВ</t>
  </si>
  <si>
    <t>1.4 МВА</t>
  </si>
  <si>
    <t>2.0 МВА</t>
  </si>
  <si>
    <t>0.63 МВА</t>
  </si>
  <si>
    <t>4.3.</t>
  </si>
  <si>
    <t>4.3.1.</t>
  </si>
  <si>
    <t>Прибор для измерения показателей качества электрической энергии</t>
  </si>
  <si>
    <t>4.3.2.</t>
  </si>
  <si>
    <t>4.3.3.</t>
  </si>
  <si>
    <t>4.4.</t>
  </si>
  <si>
    <t>4.4.1.</t>
  </si>
  <si>
    <t>4.3.4.</t>
  </si>
  <si>
    <t>4.3.5.</t>
  </si>
  <si>
    <t>4.3.6.</t>
  </si>
  <si>
    <t>0.4 МВА</t>
  </si>
  <si>
    <t>2.5 км</t>
  </si>
  <si>
    <t>План 2017 года</t>
  </si>
  <si>
    <t>2015-2017 гг.</t>
  </si>
  <si>
    <t>13.3.</t>
  </si>
  <si>
    <t>13.3.2.</t>
  </si>
  <si>
    <t>13.3.1.</t>
  </si>
  <si>
    <t>13.2.3.</t>
  </si>
  <si>
    <t>13.3.3.</t>
  </si>
  <si>
    <t>13.3.4.</t>
  </si>
  <si>
    <t>13.3.5.</t>
  </si>
  <si>
    <t>13.3.6.</t>
  </si>
  <si>
    <t>13.4.</t>
  </si>
  <si>
    <t>13.4.1.</t>
  </si>
  <si>
    <t>Оборудование не входящее в сметные расчеты строительных работ и работ по реконструкции (косвенные расходы)</t>
  </si>
  <si>
    <t>Прочее (косвенные расходы)</t>
  </si>
  <si>
    <t>01.01.2016 г.</t>
  </si>
  <si>
    <t>Факт 2016</t>
  </si>
  <si>
    <t>тыс. руб. (без НДС)</t>
  </si>
  <si>
    <t>2016-2017</t>
  </si>
  <si>
    <t>2015-2016</t>
  </si>
  <si>
    <t>2016-2018</t>
  </si>
  <si>
    <t xml:space="preserve">Факт 2016 года </t>
  </si>
  <si>
    <t>0 *</t>
  </si>
  <si>
    <t>* -</t>
  </si>
  <si>
    <t>приказом РСТ Камчатского края №279-ОД от 31.10.2016 г. не утверждено.</t>
  </si>
  <si>
    <t xml:space="preserve"> * указан срок ввода в эксплуатацию.</t>
  </si>
  <si>
    <t>начало (квартал)*</t>
  </si>
  <si>
    <t>окончание (квартал)*</t>
  </si>
  <si>
    <t>План 2017 г. (утверждено РСТ)</t>
  </si>
  <si>
    <t>План 2017 года (утверждено РСТ)</t>
  </si>
  <si>
    <t>тыс. рублей (без НДС)</t>
  </si>
  <si>
    <t>План 2016 г. (утверждено РСТ)</t>
  </si>
  <si>
    <t>в т.ч. утверждено РСТ Камчасткого края (приказ №279-ОД от 31.10.2016 г.)</t>
  </si>
  <si>
    <t>Приложение  № 1.1 - 1</t>
  </si>
  <si>
    <t>Приложение  № 1.2 - 1</t>
  </si>
  <si>
    <t>Приложение  № 1.3 - 1</t>
  </si>
  <si>
    <t>Приложение  № 2.2 - 1</t>
  </si>
  <si>
    <t>Приложение  № 3.1 - 1</t>
  </si>
  <si>
    <t>Приложение 3.2 - 1</t>
  </si>
  <si>
    <t>Приложение  № 1.1 - 2</t>
  </si>
  <si>
    <t>на 2016-2017 годы</t>
  </si>
  <si>
    <t>Перечень инвестиционных проектов на период реализации инвестиционной программы и план их финансирования</t>
  </si>
  <si>
    <t>на 2016 - 2017 годы</t>
  </si>
  <si>
    <t>Стоимость основных этапов работ по реализации инвестиционной программы компании</t>
  </si>
  <si>
    <t>Прогноз ввода/вывода объектов</t>
  </si>
  <si>
    <t>Краткое описание инвестиционной программы</t>
  </si>
  <si>
    <t>Укрупненный сетевой график выполнения инвестиционного проекта</t>
  </si>
  <si>
    <t>Расчет амортизационных отчислений по вновь вводимому оборудованию</t>
  </si>
  <si>
    <t>Приложение  № 1.2 - 2</t>
  </si>
  <si>
    <t>Приложение  № 1.3 - 2</t>
  </si>
  <si>
    <t>на 2013 - 2017 годы</t>
  </si>
  <si>
    <t xml:space="preserve">Приложение  № 2.2 - 2 </t>
  </si>
  <si>
    <t>Приложение  № 3.1 - 2</t>
  </si>
  <si>
    <t>Приложение 3.2 - 2</t>
  </si>
  <si>
    <t>Приложение  №4.2</t>
  </si>
  <si>
    <t>Приложение  №4.2 - 1</t>
  </si>
  <si>
    <t>Источники финансирования инвестиционной программы, тыс. рублей</t>
  </si>
  <si>
    <t>Приложение  №4.2 - 2</t>
  </si>
  <si>
    <t>Приложение  №4.1</t>
  </si>
  <si>
    <t>_____________________ И.И. Пискунова</t>
  </si>
  <si>
    <t>Остаточная 
стоимость 
объекта
на 01.01. 2017 г., 
тыс.рублей</t>
  </si>
  <si>
    <t>31.10.2016 г.</t>
  </si>
  <si>
    <t>Остаточная 
стоимость 
объекта
на 01.01.2017 г., 
тыс.рублей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</si>
</sst>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###0.0#####"/>
    <numFmt numFmtId="169" formatCode="#,##0.0"/>
    <numFmt numFmtId="170" formatCode="#,##0.000"/>
    <numFmt numFmtId="171" formatCode="0.000"/>
    <numFmt numFmtId="172" formatCode="0.0"/>
    <numFmt numFmtId="173" formatCode="#,##0.00000"/>
    <numFmt numFmtId="174" formatCode="#,##0.0000"/>
    <numFmt numFmtId="175" formatCode="#,##0.0000000000"/>
    <numFmt numFmtId="176" formatCode="mmm/yyyy"/>
  </numFmts>
  <fonts count="67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u val="single"/>
      <sz val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7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" fontId="2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/>
    </xf>
    <xf numFmtId="2" fontId="23" fillId="0" borderId="0" xfId="0" applyNumberFormat="1" applyFont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distributed"/>
    </xf>
    <xf numFmtId="0" fontId="26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distributed" wrapText="1"/>
    </xf>
    <xf numFmtId="0" fontId="0" fillId="0" borderId="11" xfId="0" applyFont="1" applyBorder="1" applyAlignment="1">
      <alignment/>
    </xf>
    <xf numFmtId="16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vertical="justify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32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3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1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justify" vertical="center" wrapText="1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justify" vertical="center" wrapText="1"/>
    </xf>
    <xf numFmtId="3" fontId="2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1" fillId="0" borderId="11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 vertical="justify" wrapText="1"/>
    </xf>
    <xf numFmtId="3" fontId="0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6" fillId="0" borderId="11" xfId="0" applyFont="1" applyBorder="1" applyAlignment="1">
      <alignment vertical="justify"/>
    </xf>
    <xf numFmtId="0" fontId="26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0" fillId="0" borderId="0" xfId="0" applyFont="1" applyBorder="1" applyAlignment="1">
      <alignment vertical="justify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0" fillId="0" borderId="11" xfId="0" applyNumberFormat="1" applyFont="1" applyFill="1" applyBorder="1" applyAlignment="1">
      <alignment horizontal="left" vertical="top" wrapText="1"/>
    </xf>
    <xf numFmtId="2" fontId="34" fillId="0" borderId="0" xfId="0" applyNumberFormat="1" applyFont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11" xfId="0" applyNumberFormat="1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22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1" fontId="22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22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11" xfId="0" applyFont="1" applyBorder="1" applyAlignment="1">
      <alignment horizontal="center" vertical="justify"/>
    </xf>
    <xf numFmtId="0" fontId="36" fillId="0" borderId="0" xfId="0" applyFont="1" applyAlignment="1">
      <alignment horizontal="left"/>
    </xf>
    <xf numFmtId="0" fontId="26" fillId="0" borderId="18" xfId="0" applyFont="1" applyBorder="1" applyAlignment="1">
      <alignment horizontal="center" vertical="justify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justify"/>
    </xf>
    <xf numFmtId="0" fontId="26" fillId="0" borderId="12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1" fontId="37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" fontId="26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26" fillId="0" borderId="11" xfId="0" applyFont="1" applyBorder="1" applyAlignment="1">
      <alignment horizontal="left" vertical="justify"/>
    </xf>
    <xf numFmtId="0" fontId="29" fillId="0" borderId="0" xfId="0" applyFont="1" applyFill="1" applyBorder="1" applyAlignment="1">
      <alignment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2" fontId="34" fillId="0" borderId="0" xfId="0" applyNumberFormat="1" applyFont="1" applyAlignment="1">
      <alignment horizontal="right" vertical="top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33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3" fontId="0" fillId="0" borderId="11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42" fillId="0" borderId="0" xfId="0" applyFont="1" applyFill="1" applyAlignment="1">
      <alignment horizontal="center" vertical="top" wrapText="1"/>
    </xf>
    <xf numFmtId="0" fontId="38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justify"/>
    </xf>
    <xf numFmtId="0" fontId="35" fillId="0" borderId="0" xfId="0" applyFont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0" fontId="22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" fontId="27" fillId="0" borderId="11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1" fontId="27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14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11" xfId="0" applyFont="1" applyBorder="1" applyAlignment="1">
      <alignment vertical="justify"/>
    </xf>
    <xf numFmtId="0" fontId="4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6" fontId="27" fillId="0" borderId="10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justify" wrapText="1"/>
    </xf>
    <xf numFmtId="0" fontId="0" fillId="0" borderId="12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35" fillId="0" borderId="11" xfId="0" applyFont="1" applyBorder="1" applyAlignment="1">
      <alignment horizontal="center" vertical="distributed"/>
    </xf>
    <xf numFmtId="0" fontId="25" fillId="0" borderId="18" xfId="0" applyFont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16" fontId="32" fillId="0" borderId="11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6" fillId="0" borderId="27" xfId="0" applyFont="1" applyBorder="1" applyAlignment="1">
      <alignment horizontal="center" vertical="justify"/>
    </xf>
    <xf numFmtId="0" fontId="26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9" fillId="0" borderId="11" xfId="0" applyNumberFormat="1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justify" wrapText="1"/>
    </xf>
    <xf numFmtId="0" fontId="0" fillId="0" borderId="30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justify"/>
    </xf>
    <xf numFmtId="0" fontId="26" fillId="0" borderId="13" xfId="0" applyFont="1" applyBorder="1" applyAlignment="1">
      <alignment vertical="justify"/>
    </xf>
    <xf numFmtId="0" fontId="26" fillId="0" borderId="13" xfId="0" applyFont="1" applyBorder="1" applyAlignment="1">
      <alignment horizontal="left" vertical="justify"/>
    </xf>
    <xf numFmtId="0" fontId="26" fillId="0" borderId="13" xfId="0" applyFont="1" applyBorder="1" applyAlignment="1">
      <alignment horizontal="center" vertical="top" wrapText="1"/>
    </xf>
    <xf numFmtId="1" fontId="2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3" fontId="26" fillId="0" borderId="18" xfId="0" applyNumberFormat="1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left" vertical="center"/>
    </xf>
    <xf numFmtId="3" fontId="26" fillId="0" borderId="13" xfId="0" applyNumberFormat="1" applyFont="1" applyBorder="1" applyAlignment="1">
      <alignment horizontal="left" vertical="center"/>
    </xf>
    <xf numFmtId="0" fontId="32" fillId="0" borderId="11" xfId="0" applyFont="1" applyBorder="1" applyAlignment="1">
      <alignment horizontal="justify" vertical="justify"/>
    </xf>
    <xf numFmtId="0" fontId="32" fillId="0" borderId="13" xfId="0" applyFont="1" applyBorder="1" applyAlignment="1">
      <alignment horizontal="left" vertical="justify"/>
    </xf>
    <xf numFmtId="0" fontId="38" fillId="0" borderId="11" xfId="0" applyNumberFormat="1" applyFont="1" applyFill="1" applyBorder="1" applyAlignment="1">
      <alignment horizontal="center" vertical="top" wrapText="1"/>
    </xf>
    <xf numFmtId="14" fontId="38" fillId="0" borderId="11" xfId="0" applyNumberFormat="1" applyFont="1" applyFill="1" applyBorder="1" applyAlignment="1">
      <alignment horizontal="center" vertical="top" wrapText="1"/>
    </xf>
    <xf numFmtId="16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left" vertic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/>
    </xf>
    <xf numFmtId="10" fontId="0" fillId="0" borderId="0" xfId="0" applyNumberFormat="1" applyAlignment="1">
      <alignment vertical="center"/>
    </xf>
    <xf numFmtId="16" fontId="29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" fontId="0" fillId="0" borderId="26" xfId="0" applyNumberFormat="1" applyFill="1" applyBorder="1" applyAlignment="1">
      <alignment vertical="center"/>
    </xf>
    <xf numFmtId="1" fontId="29" fillId="0" borderId="26" xfId="0" applyNumberFormat="1" applyFont="1" applyFill="1" applyBorder="1" applyAlignment="1">
      <alignment vertical="center"/>
    </xf>
    <xf numFmtId="0" fontId="21" fillId="0" borderId="0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right" vertical="center"/>
      <protection/>
    </xf>
    <xf numFmtId="0" fontId="50" fillId="0" borderId="0" xfId="53" applyNumberFormat="1" applyFont="1" applyBorder="1" applyAlignment="1">
      <alignment horizontal="right" vertical="center"/>
      <protection/>
    </xf>
    <xf numFmtId="0" fontId="51" fillId="0" borderId="0" xfId="53" applyNumberFormat="1" applyFont="1" applyBorder="1" applyAlignment="1">
      <alignment horizontal="center"/>
      <protection/>
    </xf>
    <xf numFmtId="0" fontId="0" fillId="0" borderId="0" xfId="53" applyNumberFormat="1" applyFont="1" applyBorder="1" applyAlignment="1">
      <alignment horizontal="center"/>
      <protection/>
    </xf>
    <xf numFmtId="0" fontId="51" fillId="0" borderId="0" xfId="53" applyNumberFormat="1" applyFont="1" applyBorder="1" applyAlignment="1">
      <alignment horizontal="right"/>
      <protection/>
    </xf>
    <xf numFmtId="0" fontId="52" fillId="0" borderId="0" xfId="53" applyNumberFormat="1" applyFont="1" applyBorder="1" applyAlignment="1">
      <alignment horizontal="center" vertical="top"/>
      <protection/>
    </xf>
    <xf numFmtId="0" fontId="51" fillId="0" borderId="0" xfId="53" applyNumberFormat="1" applyFont="1" applyBorder="1" applyAlignment="1">
      <alignment horizontal="center" vertical="center"/>
      <protection/>
    </xf>
    <xf numFmtId="0" fontId="53" fillId="0" borderId="0" xfId="53" applyNumberFormat="1" applyFont="1" applyBorder="1" applyAlignment="1">
      <alignment horizontal="center" vertical="center"/>
      <protection/>
    </xf>
    <xf numFmtId="0" fontId="52" fillId="0" borderId="0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left" vertical="center"/>
      <protection/>
    </xf>
    <xf numFmtId="0" fontId="51" fillId="0" borderId="0" xfId="53" applyNumberFormat="1" applyFont="1" applyBorder="1" applyAlignment="1">
      <alignment horizontal="left" vertical="center"/>
      <protection/>
    </xf>
    <xf numFmtId="0" fontId="53" fillId="0" borderId="0" xfId="53" applyNumberFormat="1" applyFont="1" applyBorder="1" applyAlignment="1">
      <alignment vertical="center"/>
      <protection/>
    </xf>
    <xf numFmtId="0" fontId="52" fillId="0" borderId="0" xfId="53" applyNumberFormat="1" applyFont="1" applyBorder="1" applyAlignment="1">
      <alignment horizontal="right" vertical="center"/>
      <protection/>
    </xf>
    <xf numFmtId="0" fontId="53" fillId="0" borderId="0" xfId="53" applyNumberFormat="1" applyFont="1" applyBorder="1" applyAlignment="1">
      <alignment horizontal="left" vertical="center"/>
      <protection/>
    </xf>
    <xf numFmtId="3" fontId="22" fillId="0" borderId="18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vertical="top" wrapText="1"/>
    </xf>
    <xf numFmtId="0" fontId="32" fillId="0" borderId="0" xfId="0" applyFont="1" applyAlignment="1">
      <alignment horizontal="right" vertical="center"/>
    </xf>
    <xf numFmtId="0" fontId="29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top" wrapText="1"/>
    </xf>
    <xf numFmtId="16" fontId="49" fillId="0" borderId="11" xfId="0" applyNumberFormat="1" applyFont="1" applyFill="1" applyBorder="1" applyAlignment="1">
      <alignment horizontal="left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" fontId="2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justify"/>
    </xf>
    <xf numFmtId="0" fontId="22" fillId="0" borderId="11" xfId="0" applyFont="1" applyFill="1" applyBorder="1" applyAlignment="1">
      <alignment horizontal="center" vertical="justify" wrapText="1"/>
    </xf>
    <xf numFmtId="1" fontId="27" fillId="0" borderId="13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 horizontal="center" vertical="justify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22" fillId="0" borderId="35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justify"/>
    </xf>
    <xf numFmtId="0" fontId="26" fillId="0" borderId="1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justify"/>
    </xf>
    <xf numFmtId="3" fontId="46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justify"/>
    </xf>
    <xf numFmtId="3" fontId="46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justify"/>
    </xf>
    <xf numFmtId="3" fontId="46" fillId="0" borderId="28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4" fontId="0" fillId="0" borderId="18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 wrapText="1"/>
    </xf>
    <xf numFmtId="0" fontId="63" fillId="0" borderId="28" xfId="0" applyNumberFormat="1" applyFont="1" applyFill="1" applyBorder="1" applyAlignment="1">
      <alignment horizontal="center" vertical="top" wrapText="1"/>
    </xf>
    <xf numFmtId="0" fontId="63" fillId="0" borderId="28" xfId="0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14" fontId="0" fillId="0" borderId="40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3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3" fontId="29" fillId="0" borderId="14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3" fontId="38" fillId="0" borderId="0" xfId="0" applyNumberFormat="1" applyFont="1" applyAlignment="1">
      <alignment/>
    </xf>
    <xf numFmtId="1" fontId="38" fillId="0" borderId="16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3" fontId="22" fillId="25" borderId="11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3" fontId="0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2" fontId="33" fillId="0" borderId="0" xfId="0" applyNumberFormat="1" applyFont="1" applyAlignment="1">
      <alignment horizontal="right" vertical="top" wrapText="1"/>
    </xf>
    <xf numFmtId="0" fontId="22" fillId="0" borderId="28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41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2" fillId="0" borderId="3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9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2" fillId="0" borderId="51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6" fontId="22" fillId="0" borderId="35" xfId="0" applyNumberFormat="1" applyFont="1" applyFill="1" applyBorder="1" applyAlignment="1">
      <alignment horizontal="center" vertical="top" wrapText="1"/>
    </xf>
    <xf numFmtId="0" fontId="22" fillId="0" borderId="43" xfId="0" applyNumberFormat="1" applyFont="1" applyFill="1" applyBorder="1" applyAlignment="1">
      <alignment horizontal="center" vertical="top" wrapText="1"/>
    </xf>
    <xf numFmtId="0" fontId="22" fillId="0" borderId="21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right"/>
    </xf>
    <xf numFmtId="0" fontId="22" fillId="0" borderId="1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45" fillId="0" borderId="0" xfId="0" applyFont="1" applyAlignment="1">
      <alignment horizontal="left"/>
    </xf>
    <xf numFmtId="0" fontId="35" fillId="0" borderId="35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22" fillId="0" borderId="35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2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 vertical="top" wrapText="1"/>
    </xf>
    <xf numFmtId="170" fontId="52" fillId="0" borderId="16" xfId="53" applyNumberFormat="1" applyFont="1" applyBorder="1" applyAlignment="1">
      <alignment horizontal="center" vertical="center" wrapText="1"/>
      <protection/>
    </xf>
    <xf numFmtId="170" fontId="54" fillId="0" borderId="35" xfId="53" applyNumberFormat="1" applyFont="1" applyBorder="1" applyAlignment="1">
      <alignment horizontal="center" vertical="center" wrapText="1"/>
      <protection/>
    </xf>
    <xf numFmtId="170" fontId="54" fillId="0" borderId="43" xfId="53" applyNumberFormat="1" applyFont="1" applyBorder="1" applyAlignment="1">
      <alignment horizontal="center" vertical="center" wrapText="1"/>
      <protection/>
    </xf>
    <xf numFmtId="170" fontId="54" fillId="0" borderId="23" xfId="53" applyNumberFormat="1" applyFont="1" applyBorder="1" applyAlignment="1">
      <alignment horizontal="center" vertical="center" wrapText="1"/>
      <protection/>
    </xf>
    <xf numFmtId="170" fontId="54" fillId="0" borderId="16" xfId="53" applyNumberFormat="1" applyFont="1" applyBorder="1" applyAlignment="1">
      <alignment horizontal="center" vertical="center" wrapText="1"/>
      <protection/>
    </xf>
    <xf numFmtId="169" fontId="52" fillId="0" borderId="16" xfId="53" applyNumberFormat="1" applyFont="1" applyBorder="1" applyAlignment="1">
      <alignment horizontal="center" vertical="center" wrapText="1"/>
      <protection/>
    </xf>
    <xf numFmtId="169" fontId="54" fillId="0" borderId="16" xfId="53" applyNumberFormat="1" applyFont="1" applyBorder="1" applyAlignment="1">
      <alignment horizontal="center" vertical="center" wrapText="1"/>
      <protection/>
    </xf>
    <xf numFmtId="169" fontId="54" fillId="0" borderId="27" xfId="53" applyNumberFormat="1" applyFont="1" applyBorder="1" applyAlignment="1">
      <alignment horizontal="center" vertical="center" wrapText="1"/>
      <protection/>
    </xf>
    <xf numFmtId="170" fontId="52" fillId="0" borderId="15" xfId="53" applyNumberFormat="1" applyFont="1" applyBorder="1" applyAlignment="1">
      <alignment horizontal="center" vertical="center" wrapText="1"/>
      <protection/>
    </xf>
    <xf numFmtId="0" fontId="52" fillId="0" borderId="16" xfId="53" applyNumberFormat="1" applyFont="1" applyBorder="1" applyAlignment="1">
      <alignment horizontal="center" vertical="center" wrapText="1"/>
      <protection/>
    </xf>
    <xf numFmtId="3" fontId="52" fillId="0" borderId="15" xfId="53" applyNumberFormat="1" applyFont="1" applyBorder="1" applyAlignment="1">
      <alignment horizontal="center" vertical="center" wrapText="1"/>
      <protection/>
    </xf>
    <xf numFmtId="3" fontId="52" fillId="0" borderId="16" xfId="53" applyNumberFormat="1" applyFont="1" applyBorder="1" applyAlignment="1">
      <alignment horizontal="center" vertical="center" wrapText="1"/>
      <protection/>
    </xf>
    <xf numFmtId="0" fontId="54" fillId="0" borderId="16" xfId="53" applyNumberFormat="1" applyFont="1" applyBorder="1" applyAlignment="1">
      <alignment horizontal="center" vertical="center" wrapText="1"/>
      <protection/>
    </xf>
    <xf numFmtId="171" fontId="52" fillId="0" borderId="16" xfId="53" applyNumberFormat="1" applyFont="1" applyBorder="1" applyAlignment="1">
      <alignment horizontal="center" vertical="center" wrapText="1"/>
      <protection/>
    </xf>
    <xf numFmtId="171" fontId="52" fillId="0" borderId="27" xfId="53" applyNumberFormat="1" applyFont="1" applyBorder="1" applyAlignment="1">
      <alignment horizontal="center" vertical="center" wrapText="1"/>
      <protection/>
    </xf>
    <xf numFmtId="0" fontId="52" fillId="0" borderId="15" xfId="53" applyNumberFormat="1" applyFont="1" applyBorder="1" applyAlignment="1">
      <alignment horizontal="center" vertical="center"/>
      <protection/>
    </xf>
    <xf numFmtId="0" fontId="52" fillId="0" borderId="16" xfId="53" applyNumberFormat="1" applyFont="1" applyBorder="1" applyAlignment="1">
      <alignment horizontal="center" vertical="center"/>
      <protection/>
    </xf>
    <xf numFmtId="0" fontId="52" fillId="0" borderId="35" xfId="53" applyNumberFormat="1" applyFont="1" applyBorder="1" applyAlignment="1">
      <alignment horizontal="left" vertical="center" wrapText="1"/>
      <protection/>
    </xf>
    <xf numFmtId="0" fontId="52" fillId="0" borderId="43" xfId="53" applyNumberFormat="1" applyFont="1" applyBorder="1" applyAlignment="1">
      <alignment horizontal="left" vertical="center" wrapText="1"/>
      <protection/>
    </xf>
    <xf numFmtId="0" fontId="52" fillId="0" borderId="21" xfId="53" applyNumberFormat="1" applyFont="1" applyBorder="1" applyAlignment="1">
      <alignment horizontal="left" vertical="center" wrapText="1"/>
      <protection/>
    </xf>
    <xf numFmtId="3" fontId="54" fillId="0" borderId="16" xfId="53" applyNumberFormat="1" applyFont="1" applyBorder="1" applyAlignment="1">
      <alignment horizontal="center" vertical="center" wrapText="1"/>
      <protection/>
    </xf>
    <xf numFmtId="3" fontId="54" fillId="0" borderId="27" xfId="53" applyNumberFormat="1" applyFont="1" applyBorder="1" applyAlignment="1">
      <alignment horizontal="center" vertical="center" wrapText="1"/>
      <protection/>
    </xf>
    <xf numFmtId="170" fontId="52" fillId="0" borderId="13" xfId="53" applyNumberFormat="1" applyFont="1" applyBorder="1" applyAlignment="1">
      <alignment horizontal="center" vertical="center" wrapText="1"/>
      <protection/>
    </xf>
    <xf numFmtId="0" fontId="51" fillId="0" borderId="0" xfId="53" applyNumberFormat="1" applyFont="1" applyBorder="1" applyAlignment="1">
      <alignment horizontal="right"/>
      <protection/>
    </xf>
    <xf numFmtId="0" fontId="51" fillId="0" borderId="42" xfId="53" applyNumberFormat="1" applyFont="1" applyBorder="1" applyAlignment="1">
      <alignment horizontal="right"/>
      <protection/>
    </xf>
    <xf numFmtId="0" fontId="53" fillId="0" borderId="51" xfId="53" applyNumberFormat="1" applyFont="1" applyBorder="1" applyAlignment="1">
      <alignment horizontal="center" vertical="center"/>
      <protection/>
    </xf>
    <xf numFmtId="0" fontId="53" fillId="0" borderId="33" xfId="53" applyNumberFormat="1" applyFont="1" applyBorder="1" applyAlignment="1">
      <alignment horizontal="center" vertical="center"/>
      <protection/>
    </xf>
    <xf numFmtId="0" fontId="53" fillId="0" borderId="16" xfId="53" applyNumberFormat="1" applyFont="1" applyBorder="1" applyAlignment="1">
      <alignment horizontal="center" vertical="center"/>
      <protection/>
    </xf>
    <xf numFmtId="0" fontId="22" fillId="0" borderId="0" xfId="53" applyNumberFormat="1" applyFont="1" applyBorder="1" applyAlignment="1">
      <alignment horizontal="center" vertical="center"/>
      <protection/>
    </xf>
    <xf numFmtId="0" fontId="53" fillId="0" borderId="54" xfId="53" applyNumberFormat="1" applyFont="1" applyBorder="1" applyAlignment="1">
      <alignment horizontal="center" vertical="center"/>
      <protection/>
    </xf>
    <xf numFmtId="0" fontId="53" fillId="0" borderId="41" xfId="53" applyNumberFormat="1" applyFont="1" applyBorder="1" applyAlignment="1">
      <alignment horizontal="center" vertical="center"/>
      <protection/>
    </xf>
    <xf numFmtId="0" fontId="53" fillId="0" borderId="47" xfId="53" applyNumberFormat="1" applyFont="1" applyBorder="1" applyAlignment="1">
      <alignment horizontal="center" vertical="center"/>
      <protection/>
    </xf>
    <xf numFmtId="0" fontId="53" fillId="0" borderId="50" xfId="53" applyNumberFormat="1" applyFont="1" applyBorder="1" applyAlignment="1">
      <alignment horizontal="center" vertical="center"/>
      <protection/>
    </xf>
    <xf numFmtId="0" fontId="53" fillId="0" borderId="52" xfId="53" applyNumberFormat="1" applyFont="1" applyBorder="1" applyAlignment="1">
      <alignment horizontal="center" vertical="center"/>
      <protection/>
    </xf>
    <xf numFmtId="0" fontId="53" fillId="0" borderId="15" xfId="53" applyNumberFormat="1" applyFont="1" applyBorder="1" applyAlignment="1">
      <alignment horizontal="center" vertical="center"/>
      <protection/>
    </xf>
    <xf numFmtId="0" fontId="53" fillId="0" borderId="34" xfId="53" applyNumberFormat="1" applyFont="1" applyBorder="1" applyAlignment="1">
      <alignment horizontal="center" vertical="center"/>
      <protection/>
    </xf>
    <xf numFmtId="0" fontId="53" fillId="0" borderId="35" xfId="53" applyNumberFormat="1" applyFont="1" applyBorder="1" applyAlignment="1">
      <alignment horizontal="center" vertical="center"/>
      <protection/>
    </xf>
    <xf numFmtId="0" fontId="53" fillId="0" borderId="43" xfId="53" applyNumberFormat="1" applyFont="1" applyBorder="1" applyAlignment="1">
      <alignment horizontal="center" vertical="center"/>
      <protection/>
    </xf>
    <xf numFmtId="0" fontId="53" fillId="0" borderId="21" xfId="53" applyNumberFormat="1" applyFont="1" applyBorder="1" applyAlignment="1">
      <alignment horizontal="center" vertical="center"/>
      <protection/>
    </xf>
    <xf numFmtId="0" fontId="53" fillId="0" borderId="53" xfId="53" applyNumberFormat="1" applyFont="1" applyBorder="1" applyAlignment="1">
      <alignment horizontal="center" vertical="center"/>
      <protection/>
    </xf>
    <xf numFmtId="0" fontId="55" fillId="0" borderId="33" xfId="53" applyNumberFormat="1" applyFont="1" applyBorder="1" applyAlignment="1">
      <alignment horizontal="center" vertical="center"/>
      <protection/>
    </xf>
    <xf numFmtId="0" fontId="55" fillId="0" borderId="51" xfId="53" applyNumberFormat="1" applyFont="1" applyBorder="1" applyAlignment="1">
      <alignment horizontal="center" vertical="center"/>
      <protection/>
    </xf>
    <xf numFmtId="0" fontId="55" fillId="0" borderId="52" xfId="53" applyNumberFormat="1" applyFont="1" applyBorder="1" applyAlignment="1">
      <alignment horizontal="center" vertical="center"/>
      <protection/>
    </xf>
    <xf numFmtId="0" fontId="52" fillId="0" borderId="11" xfId="53" applyNumberFormat="1" applyFont="1" applyBorder="1" applyAlignment="1">
      <alignment horizontal="center" vertical="center"/>
      <protection/>
    </xf>
    <xf numFmtId="0" fontId="55" fillId="0" borderId="53" xfId="53" applyNumberFormat="1" applyFont="1" applyBorder="1" applyAlignment="1">
      <alignment horizontal="center" vertical="center"/>
      <protection/>
    </xf>
    <xf numFmtId="0" fontId="52" fillId="0" borderId="12" xfId="53" applyNumberFormat="1" applyFont="1" applyBorder="1" applyAlignment="1">
      <alignment horizontal="center" vertical="center"/>
      <protection/>
    </xf>
    <xf numFmtId="0" fontId="53" fillId="0" borderId="27" xfId="53" applyNumberFormat="1" applyFont="1" applyBorder="1" applyAlignment="1">
      <alignment horizontal="center" vertical="center"/>
      <protection/>
    </xf>
    <xf numFmtId="0" fontId="52" fillId="0" borderId="10" xfId="53" applyNumberFormat="1" applyFont="1" applyBorder="1" applyAlignment="1">
      <alignment horizontal="center" vertical="center"/>
      <protection/>
    </xf>
    <xf numFmtId="0" fontId="54" fillId="0" borderId="11" xfId="53" applyNumberFormat="1" applyFont="1" applyBorder="1" applyAlignment="1">
      <alignment horizontal="center" vertical="center"/>
      <protection/>
    </xf>
    <xf numFmtId="170" fontId="52" fillId="0" borderId="27" xfId="53" applyNumberFormat="1" applyFont="1" applyBorder="1" applyAlignment="1">
      <alignment horizontal="center" vertical="center" wrapText="1"/>
      <protection/>
    </xf>
    <xf numFmtId="0" fontId="52" fillId="0" borderId="35" xfId="53" applyNumberFormat="1" applyFont="1" applyBorder="1" applyAlignment="1">
      <alignment horizontal="center" vertical="center" wrapText="1"/>
      <protection/>
    </xf>
    <xf numFmtId="0" fontId="52" fillId="0" borderId="43" xfId="53" applyNumberFormat="1" applyFont="1" applyBorder="1" applyAlignment="1">
      <alignment horizontal="center" vertical="center" wrapText="1"/>
      <protection/>
    </xf>
    <xf numFmtId="0" fontId="52" fillId="0" borderId="21" xfId="53" applyNumberFormat="1" applyFont="1" applyBorder="1" applyAlignment="1">
      <alignment horizontal="center" vertical="center" wrapText="1"/>
      <protection/>
    </xf>
    <xf numFmtId="0" fontId="54" fillId="0" borderId="12" xfId="53" applyNumberFormat="1" applyFont="1" applyBorder="1" applyAlignment="1">
      <alignment horizontal="center" vertical="center"/>
      <protection/>
    </xf>
    <xf numFmtId="0" fontId="53" fillId="0" borderId="55" xfId="53" applyNumberFormat="1" applyFont="1" applyBorder="1" applyAlignment="1">
      <alignment horizontal="center" vertical="center"/>
      <protection/>
    </xf>
    <xf numFmtId="0" fontId="53" fillId="0" borderId="30" xfId="53" applyNumberFormat="1" applyFont="1" applyBorder="1" applyAlignment="1">
      <alignment horizontal="center" vertical="center"/>
      <protection/>
    </xf>
    <xf numFmtId="0" fontId="53" fillId="0" borderId="56" xfId="53" applyNumberFormat="1" applyFont="1" applyBorder="1" applyAlignment="1">
      <alignment horizontal="center" vertical="center"/>
      <protection/>
    </xf>
    <xf numFmtId="0" fontId="55" fillId="0" borderId="16" xfId="53" applyNumberFormat="1" applyFont="1" applyBorder="1" applyAlignment="1">
      <alignment horizontal="center" vertical="center"/>
      <protection/>
    </xf>
    <xf numFmtId="0" fontId="55" fillId="0" borderId="27" xfId="53" applyNumberFormat="1" applyFont="1" applyBorder="1" applyAlignment="1">
      <alignment horizontal="center" vertical="center"/>
      <protection/>
    </xf>
    <xf numFmtId="0" fontId="53" fillId="0" borderId="39" xfId="53" applyNumberFormat="1" applyFont="1" applyBorder="1" applyAlignment="1">
      <alignment horizontal="center" vertical="center"/>
      <protection/>
    </xf>
    <xf numFmtId="0" fontId="53" fillId="0" borderId="23" xfId="53" applyNumberFormat="1" applyFont="1" applyBorder="1" applyAlignment="1">
      <alignment horizontal="center" vertical="center"/>
      <protection/>
    </xf>
    <xf numFmtId="170" fontId="54" fillId="0" borderId="27" xfId="53" applyNumberFormat="1" applyFont="1" applyBorder="1" applyAlignment="1">
      <alignment horizontal="center" vertical="center" wrapText="1"/>
      <protection/>
    </xf>
    <xf numFmtId="0" fontId="53" fillId="0" borderId="57" xfId="53" applyNumberFormat="1" applyFont="1" applyBorder="1" applyAlignment="1">
      <alignment horizontal="center" vertical="center"/>
      <protection/>
    </xf>
    <xf numFmtId="0" fontId="53" fillId="0" borderId="58" xfId="53" applyNumberFormat="1" applyFont="1" applyBorder="1" applyAlignment="1">
      <alignment horizontal="center" vertical="center"/>
      <protection/>
    </xf>
    <xf numFmtId="0" fontId="53" fillId="0" borderId="59" xfId="53" applyNumberFormat="1" applyFont="1" applyBorder="1" applyAlignment="1">
      <alignment horizontal="center" vertical="center"/>
      <protection/>
    </xf>
    <xf numFmtId="171" fontId="66" fillId="0" borderId="16" xfId="53" applyNumberFormat="1" applyFont="1" applyBorder="1" applyAlignment="1">
      <alignment horizontal="center" vertical="center" wrapText="1"/>
      <protection/>
    </xf>
    <xf numFmtId="171" fontId="66" fillId="0" borderId="27" xfId="53" applyNumberFormat="1" applyFont="1" applyBorder="1" applyAlignment="1">
      <alignment horizontal="center" vertical="center" wrapText="1"/>
      <protection/>
    </xf>
    <xf numFmtId="0" fontId="52" fillId="0" borderId="16" xfId="53" applyNumberFormat="1" applyFont="1" applyFill="1" applyBorder="1" applyAlignment="1">
      <alignment horizontal="center" vertical="center" wrapText="1"/>
      <protection/>
    </xf>
    <xf numFmtId="0" fontId="52" fillId="0" borderId="60" xfId="53" applyNumberFormat="1" applyFont="1" applyBorder="1" applyAlignment="1">
      <alignment horizontal="center" vertical="center"/>
      <protection/>
    </xf>
    <xf numFmtId="0" fontId="52" fillId="0" borderId="40" xfId="53" applyNumberFormat="1" applyFont="1" applyBorder="1" applyAlignment="1">
      <alignment horizontal="center" vertical="center"/>
      <protection/>
    </xf>
    <xf numFmtId="0" fontId="52" fillId="0" borderId="25" xfId="53" applyNumberFormat="1" applyFont="1" applyBorder="1" applyAlignment="1">
      <alignment horizontal="left" vertical="center" wrapText="1"/>
      <protection/>
    </xf>
    <xf numFmtId="0" fontId="52" fillId="0" borderId="44" xfId="53" applyNumberFormat="1" applyFont="1" applyBorder="1" applyAlignment="1">
      <alignment horizontal="left" vertical="center" wrapText="1"/>
      <protection/>
    </xf>
    <xf numFmtId="0" fontId="52" fillId="0" borderId="46" xfId="53" applyNumberFormat="1" applyFont="1" applyBorder="1" applyAlignment="1">
      <alignment horizontal="left" vertical="center" wrapText="1"/>
      <protection/>
    </xf>
    <xf numFmtId="0" fontId="52" fillId="0" borderId="13" xfId="53" applyNumberFormat="1" applyFont="1" applyBorder="1" applyAlignment="1">
      <alignment horizontal="center" vertical="center" wrapText="1"/>
      <protection/>
    </xf>
    <xf numFmtId="0" fontId="54" fillId="0" borderId="13" xfId="53" applyNumberFormat="1" applyFont="1" applyBorder="1" applyAlignment="1">
      <alignment horizontal="center" vertical="center" wrapText="1"/>
      <protection/>
    </xf>
    <xf numFmtId="171" fontId="52" fillId="0" borderId="13" xfId="53" applyNumberFormat="1" applyFont="1" applyBorder="1" applyAlignment="1">
      <alignment horizontal="center" vertical="center" wrapText="1"/>
      <protection/>
    </xf>
    <xf numFmtId="171" fontId="52" fillId="0" borderId="14" xfId="53" applyNumberFormat="1" applyFont="1" applyBorder="1" applyAlignment="1">
      <alignment horizontal="center" vertical="center" wrapText="1"/>
      <protection/>
    </xf>
    <xf numFmtId="3" fontId="52" fillId="0" borderId="24" xfId="53" applyNumberFormat="1" applyFont="1" applyBorder="1" applyAlignment="1">
      <alignment horizontal="center" vertical="center" wrapText="1"/>
      <protection/>
    </xf>
    <xf numFmtId="3" fontId="52" fillId="0" borderId="13" xfId="53" applyNumberFormat="1" applyFont="1" applyBorder="1" applyAlignment="1">
      <alignment horizontal="center" vertical="center" wrapText="1"/>
      <protection/>
    </xf>
    <xf numFmtId="169" fontId="52" fillId="0" borderId="13" xfId="53" applyNumberFormat="1" applyFont="1" applyBorder="1" applyAlignment="1">
      <alignment horizontal="center" vertical="center" wrapText="1"/>
      <protection/>
    </xf>
    <xf numFmtId="169" fontId="54" fillId="0" borderId="13" xfId="53" applyNumberFormat="1" applyFont="1" applyBorder="1" applyAlignment="1">
      <alignment horizontal="center" vertical="center" wrapText="1"/>
      <protection/>
    </xf>
    <xf numFmtId="169" fontId="54" fillId="0" borderId="14" xfId="53" applyNumberFormat="1" applyFont="1" applyBorder="1" applyAlignment="1">
      <alignment horizontal="center" vertical="center" wrapText="1"/>
      <protection/>
    </xf>
    <xf numFmtId="170" fontId="52" fillId="0" borderId="24" xfId="53" applyNumberFormat="1" applyFont="1" applyBorder="1" applyAlignment="1">
      <alignment horizontal="center" vertical="center" wrapText="1"/>
      <protection/>
    </xf>
    <xf numFmtId="170" fontId="54" fillId="0" borderId="25" xfId="53" applyNumberFormat="1" applyFont="1" applyBorder="1" applyAlignment="1">
      <alignment horizontal="center" vertical="center" wrapText="1"/>
      <protection/>
    </xf>
    <xf numFmtId="170" fontId="54" fillId="0" borderId="44" xfId="53" applyNumberFormat="1" applyFont="1" applyBorder="1" applyAlignment="1">
      <alignment horizontal="center" vertical="center" wrapText="1"/>
      <protection/>
    </xf>
    <xf numFmtId="170" fontId="54" fillId="0" borderId="45" xfId="53" applyNumberFormat="1" applyFont="1" applyBorder="1" applyAlignment="1">
      <alignment horizontal="center" vertical="center" wrapText="1"/>
      <protection/>
    </xf>
    <xf numFmtId="170" fontId="54" fillId="0" borderId="13" xfId="53" applyNumberFormat="1" applyFont="1" applyBorder="1" applyAlignment="1">
      <alignment horizontal="center" vertical="center" wrapText="1"/>
      <protection/>
    </xf>
    <xf numFmtId="0" fontId="54" fillId="0" borderId="11" xfId="53" applyNumberFormat="1" applyFont="1" applyBorder="1" applyAlignment="1">
      <alignment horizontal="center" vertical="center" wrapText="1"/>
      <protection/>
    </xf>
    <xf numFmtId="0" fontId="52" fillId="0" borderId="11" xfId="53" applyNumberFormat="1" applyFont="1" applyBorder="1" applyAlignment="1">
      <alignment horizontal="center" vertical="center" wrapText="1"/>
      <protection/>
    </xf>
    <xf numFmtId="3" fontId="52" fillId="0" borderId="10" xfId="53" applyNumberFormat="1" applyFont="1" applyBorder="1" applyAlignment="1">
      <alignment horizontal="center" vertical="center" wrapText="1"/>
      <protection/>
    </xf>
    <xf numFmtId="3" fontId="52" fillId="0" borderId="11" xfId="53" applyNumberFormat="1" applyFont="1" applyBorder="1" applyAlignment="1">
      <alignment horizontal="center" vertical="center" wrapText="1"/>
      <protection/>
    </xf>
    <xf numFmtId="171" fontId="52" fillId="0" borderId="11" xfId="53" applyNumberFormat="1" applyFont="1" applyBorder="1" applyAlignment="1">
      <alignment horizontal="center" vertical="center" wrapText="1"/>
      <protection/>
    </xf>
    <xf numFmtId="171" fontId="52" fillId="0" borderId="12" xfId="53" applyNumberFormat="1" applyFont="1" applyBorder="1" applyAlignment="1">
      <alignment horizontal="center" vertical="center" wrapText="1"/>
      <protection/>
    </xf>
    <xf numFmtId="170" fontId="52" fillId="0" borderId="11" xfId="53" applyNumberFormat="1" applyFont="1" applyBorder="1" applyAlignment="1">
      <alignment horizontal="center" vertical="center" wrapText="1"/>
      <protection/>
    </xf>
    <xf numFmtId="3" fontId="54" fillId="0" borderId="11" xfId="53" applyNumberFormat="1" applyFont="1" applyBorder="1" applyAlignment="1">
      <alignment horizontal="center" vertical="center" wrapText="1"/>
      <protection/>
    </xf>
    <xf numFmtId="170" fontId="54" fillId="0" borderId="11" xfId="53" applyNumberFormat="1" applyFont="1" applyBorder="1" applyAlignment="1">
      <alignment horizontal="center" vertical="center" wrapText="1"/>
      <protection/>
    </xf>
    <xf numFmtId="3" fontId="54" fillId="0" borderId="12" xfId="53" applyNumberFormat="1" applyFont="1" applyBorder="1" applyAlignment="1">
      <alignment horizontal="center" vertical="center" wrapText="1"/>
      <protection/>
    </xf>
    <xf numFmtId="170" fontId="52" fillId="0" borderId="10" xfId="53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26" fillId="24" borderId="18" xfId="0" applyFont="1" applyFill="1" applyBorder="1" applyAlignment="1">
      <alignment horizontal="center" vertical="justify"/>
    </xf>
    <xf numFmtId="0" fontId="26" fillId="24" borderId="16" xfId="0" applyFont="1" applyFill="1" applyBorder="1" applyAlignment="1">
      <alignment horizontal="center" vertical="justify"/>
    </xf>
    <xf numFmtId="0" fontId="26" fillId="0" borderId="33" xfId="0" applyFont="1" applyBorder="1" applyAlignment="1">
      <alignment horizontal="center" vertical="justify"/>
    </xf>
    <xf numFmtId="0" fontId="25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1" fontId="38" fillId="0" borderId="18" xfId="0" applyNumberFormat="1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1" fontId="38" fillId="0" borderId="33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1" fontId="30" fillId="0" borderId="18" xfId="0" applyNumberFormat="1" applyFont="1" applyBorder="1" applyAlignment="1">
      <alignment horizontal="center" vertical="center" wrapText="1"/>
    </xf>
    <xf numFmtId="1" fontId="30" fillId="0" borderId="33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38" fillId="0" borderId="0" xfId="0" applyNumberFormat="1" applyFont="1" applyAlignment="1">
      <alignment horizontal="right" vertical="top" wrapText="1"/>
    </xf>
    <xf numFmtId="2" fontId="57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5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right" vertical="top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 horizontal="center" vertical="justify"/>
    </xf>
    <xf numFmtId="0" fontId="30" fillId="0" borderId="1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kes\Users\&#1048;&#1088;&#1080;&#1085;&#1072;\Desktop\&#1050;&#1069;&#1057;\&#1080;&#1085;&#1074;&#1077;&#1089;&#1090;%20&#1087;&#1088;&#1086;&#1075;&#1088;&#1072;&#1084;&#1084;&#1072;\2011%20&#1075;&#1086;&#1076;\&#1080;&#1085;&#1074;&#1077;&#1089;&#1090;.&#1087;&#1088;&#1086;&#1075;&#1088;.&#1082;&#1086;&#1088;&#1088;&#1077;&#1082;&#1090;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kes\&#1054;&#1073;&#1097;&#1080;&#1077;%20&#1076;&#1086;&#1082;&#1091;&#1084;&#1077;&#1085;&#1090;&#1099;\6A61~1\&#1040;&#1085;&#1085;&#1072;%20&#1042;&#1083;&#1072;&#1076;&#1080;&#1084;&#1080;&#1088;&#1086;&#1074;&#1085;&#1072;\4354~1\8DDB~1\2011-2~1\2013\2013~2\62013~1\&#1057;&#1074;&#1086;&#1076;%202013%20&#1082;&#1086;&#1088;&#1088;&#1077;&#1082;&#1090;&#1080;&#1088;&#1086;&#1074;&#1082;&#1072;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2015%20&#1082;&#1086;&#1088;&#1088;&#1077;&#1082;&#1090;&#1080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амортиз"/>
      <sheetName val="приложение 6 (2)"/>
      <sheetName val="приложение 1"/>
      <sheetName val="приложение 2"/>
      <sheetName val="приложение 3"/>
      <sheetName val="приложение 4"/>
      <sheetName val="приложение 5,"/>
      <sheetName val="приложение 6"/>
      <sheetName val="приложение 7"/>
      <sheetName val="приложение 3.2"/>
    </sheetNames>
    <sheetDataSet>
      <sheetData sheetId="3">
        <row r="14">
          <cell r="G14">
            <v>111442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">
          <cell r="L48">
            <v>0</v>
          </cell>
        </row>
        <row r="52">
          <cell r="L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5">
          <cell r="L45">
            <v>0</v>
          </cell>
        </row>
        <row r="51">
          <cell r="L51">
            <v>0</v>
          </cell>
        </row>
        <row r="70">
          <cell r="L70">
            <v>0</v>
          </cell>
        </row>
        <row r="76">
          <cell r="L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Z32"/>
  <sheetViews>
    <sheetView tabSelected="1" zoomScale="75" zoomScaleNormal="75" zoomScaleSheetLayoutView="70" zoomScalePageLayoutView="0" workbookViewId="0" topLeftCell="A1">
      <selection activeCell="N32" sqref="N32"/>
    </sheetView>
  </sheetViews>
  <sheetFormatPr defaultColWidth="9.00390625" defaultRowHeight="15.75"/>
  <cols>
    <col min="1" max="1" width="6.625" style="1" customWidth="1"/>
    <col min="2" max="2" width="27.375" style="1" customWidth="1"/>
    <col min="3" max="3" width="11.125" style="1" customWidth="1"/>
    <col min="4" max="4" width="15.125" style="2" customWidth="1"/>
    <col min="5" max="5" width="13.75390625" style="2" customWidth="1"/>
    <col min="6" max="6" width="14.75390625" style="2" customWidth="1"/>
    <col min="7" max="7" width="14.50390625" style="2" customWidth="1"/>
    <col min="8" max="8" width="13.50390625" style="2" customWidth="1"/>
    <col min="9" max="9" width="15.125" style="2" customWidth="1"/>
    <col min="10" max="10" width="11.875" style="1" hidden="1" customWidth="1"/>
    <col min="11" max="11" width="11.125" style="1" hidden="1" customWidth="1"/>
    <col min="12" max="12" width="11.625" style="1" hidden="1" customWidth="1"/>
    <col min="13" max="13" width="11.875" style="1" hidden="1" customWidth="1"/>
    <col min="14" max="14" width="11.875" style="1" customWidth="1"/>
    <col min="15" max="15" width="10.75390625" style="1" customWidth="1"/>
    <col min="16" max="17" width="11.25390625" style="1" hidden="1" customWidth="1"/>
    <col min="18" max="18" width="13.375" style="1" customWidth="1"/>
    <col min="19" max="21" width="11.00390625" style="1" hidden="1" customWidth="1"/>
    <col min="22" max="23" width="11.00390625" style="1" customWidth="1"/>
    <col min="24" max="24" width="11.625" style="1" hidden="1" customWidth="1"/>
    <col min="25" max="25" width="12.375" style="1" customWidth="1"/>
    <col min="26" max="16384" width="9.00390625" style="1" customWidth="1"/>
  </cols>
  <sheetData>
    <row r="1" ht="18.75">
      <c r="Y1" s="199" t="s">
        <v>522</v>
      </c>
    </row>
    <row r="2" ht="18.75">
      <c r="Y2" s="199" t="s">
        <v>7</v>
      </c>
    </row>
    <row r="3" spans="1:2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>
      <c r="A4" s="159" t="s">
        <v>280</v>
      </c>
    </row>
    <row r="5" ht="15.75">
      <c r="B5" s="159"/>
    </row>
    <row r="6" spans="2:25" ht="20.25">
      <c r="B6" s="159"/>
      <c r="W6" s="113"/>
      <c r="X6" s="113"/>
      <c r="Y6" s="114" t="s">
        <v>9</v>
      </c>
    </row>
    <row r="7" spans="23:25" ht="20.25">
      <c r="W7" s="113"/>
      <c r="X7" s="113"/>
      <c r="Y7" s="114" t="s">
        <v>416</v>
      </c>
    </row>
    <row r="8" spans="21:25" ht="20.25">
      <c r="U8" s="568"/>
      <c r="V8" s="569"/>
      <c r="W8" s="569"/>
      <c r="X8" s="569"/>
      <c r="Y8" s="569"/>
    </row>
    <row r="9" spans="17:25" ht="22.5" customHeight="1">
      <c r="Q9" s="425"/>
      <c r="R9" s="566" t="s">
        <v>315</v>
      </c>
      <c r="S9" s="566"/>
      <c r="T9" s="566"/>
      <c r="U9" s="566"/>
      <c r="V9" s="566"/>
      <c r="W9" s="566"/>
      <c r="X9" s="566"/>
      <c r="Y9" s="566"/>
    </row>
    <row r="10" spans="23:25" ht="20.25">
      <c r="W10" s="113"/>
      <c r="X10" s="113"/>
      <c r="Y10" s="114" t="s">
        <v>10</v>
      </c>
    </row>
    <row r="11" spans="23:25" ht="20.25">
      <c r="W11" s="113"/>
      <c r="X11" s="113"/>
      <c r="Y11" s="114" t="s">
        <v>11</v>
      </c>
    </row>
    <row r="12" spans="23:25" ht="20.25">
      <c r="W12" s="113"/>
      <c r="X12" s="113"/>
      <c r="Y12" s="114"/>
    </row>
    <row r="13" spans="1:25" ht="20.25">
      <c r="A13" s="577" t="s">
        <v>530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</row>
    <row r="14" spans="1:25" ht="20.25">
      <c r="A14" s="577" t="s">
        <v>529</v>
      </c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</row>
    <row r="15" spans="23:25" ht="20.25">
      <c r="W15" s="113"/>
      <c r="X15" s="113"/>
      <c r="Y15" s="114"/>
    </row>
    <row r="16" spans="23:25" ht="16.5" thickBot="1">
      <c r="W16" s="581" t="s">
        <v>305</v>
      </c>
      <c r="X16" s="581"/>
      <c r="Y16" s="581"/>
    </row>
    <row r="17" spans="1:25" ht="21" customHeight="1">
      <c r="A17" s="578" t="s">
        <v>12</v>
      </c>
      <c r="B17" s="574" t="s">
        <v>13</v>
      </c>
      <c r="C17" s="574" t="s">
        <v>14</v>
      </c>
      <c r="D17" s="574" t="s">
        <v>15</v>
      </c>
      <c r="E17" s="574" t="s">
        <v>419</v>
      </c>
      <c r="F17" s="574" t="s">
        <v>16</v>
      </c>
      <c r="G17" s="570" t="s">
        <v>233</v>
      </c>
      <c r="H17" s="570" t="s">
        <v>463</v>
      </c>
      <c r="I17" s="570" t="s">
        <v>464</v>
      </c>
      <c r="J17" s="567" t="s">
        <v>17</v>
      </c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72"/>
      <c r="V17" s="572"/>
      <c r="W17" s="572"/>
      <c r="X17" s="572"/>
      <c r="Y17" s="573"/>
    </row>
    <row r="18" spans="1:25" ht="64.5" customHeight="1">
      <c r="A18" s="579"/>
      <c r="B18" s="575"/>
      <c r="C18" s="575"/>
      <c r="D18" s="575"/>
      <c r="E18" s="575"/>
      <c r="F18" s="575"/>
      <c r="G18" s="571"/>
      <c r="H18" s="571"/>
      <c r="I18" s="571"/>
      <c r="J18" s="7">
        <v>2011</v>
      </c>
      <c r="K18" s="7">
        <v>2013</v>
      </c>
      <c r="L18" s="7">
        <v>2014</v>
      </c>
      <c r="M18" s="7">
        <v>2015</v>
      </c>
      <c r="N18" s="7">
        <v>2016</v>
      </c>
      <c r="O18" s="7">
        <v>2017</v>
      </c>
      <c r="P18" s="7">
        <v>2018</v>
      </c>
      <c r="Q18" s="7">
        <v>2019</v>
      </c>
      <c r="R18" s="6" t="s">
        <v>18</v>
      </c>
      <c r="S18" s="7">
        <f>K18</f>
        <v>2013</v>
      </c>
      <c r="T18" s="7">
        <f>L18</f>
        <v>2014</v>
      </c>
      <c r="U18" s="7">
        <f>M18</f>
        <v>2015</v>
      </c>
      <c r="V18" s="7">
        <f>N18</f>
        <v>2016</v>
      </c>
      <c r="W18" s="7">
        <f>O18</f>
        <v>2017</v>
      </c>
      <c r="X18" s="7">
        <v>2018</v>
      </c>
      <c r="Y18" s="8" t="s">
        <v>18</v>
      </c>
    </row>
    <row r="19" spans="1:25" ht="32.25" thickBot="1">
      <c r="A19" s="580"/>
      <c r="B19" s="576"/>
      <c r="C19" s="9" t="s">
        <v>19</v>
      </c>
      <c r="D19" s="9" t="s">
        <v>20</v>
      </c>
      <c r="E19" s="576"/>
      <c r="F19" s="576"/>
      <c r="G19" s="9" t="s">
        <v>221</v>
      </c>
      <c r="H19" s="9" t="s">
        <v>221</v>
      </c>
      <c r="I19" s="9" t="s">
        <v>221</v>
      </c>
      <c r="J19" s="110" t="s">
        <v>20</v>
      </c>
      <c r="K19" s="110" t="s">
        <v>20</v>
      </c>
      <c r="L19" s="110" t="s">
        <v>20</v>
      </c>
      <c r="M19" s="110" t="s">
        <v>20</v>
      </c>
      <c r="N19" s="110" t="s">
        <v>20</v>
      </c>
      <c r="O19" s="110" t="s">
        <v>20</v>
      </c>
      <c r="P19" s="110" t="s">
        <v>20</v>
      </c>
      <c r="Q19" s="110" t="s">
        <v>20</v>
      </c>
      <c r="R19" s="110" t="s">
        <v>20</v>
      </c>
      <c r="S19" s="9" t="s">
        <v>3</v>
      </c>
      <c r="T19" s="9" t="s">
        <v>3</v>
      </c>
      <c r="U19" s="9" t="s">
        <v>3</v>
      </c>
      <c r="V19" s="9" t="s">
        <v>3</v>
      </c>
      <c r="W19" s="9" t="s">
        <v>3</v>
      </c>
      <c r="X19" s="9" t="s">
        <v>3</v>
      </c>
      <c r="Y19" s="10" t="s">
        <v>3</v>
      </c>
    </row>
    <row r="20" spans="1:25" ht="16.5" thickBot="1">
      <c r="A20" s="447"/>
      <c r="B20" s="446" t="s">
        <v>350</v>
      </c>
      <c r="C20" s="448"/>
      <c r="D20" s="448"/>
      <c r="E20" s="446"/>
      <c r="F20" s="446"/>
      <c r="G20" s="183">
        <f>G22+'приложение 1.1 2016-2017 тр'!G19</f>
        <v>152274</v>
      </c>
      <c r="H20" s="183">
        <f>H22+'приложение 1.1 2016-2017 тр'!H19</f>
        <v>17197</v>
      </c>
      <c r="I20" s="452">
        <f>I22+'приложение 1.1 2016-2017 тр'!I19</f>
        <v>17197</v>
      </c>
      <c r="J20" s="449"/>
      <c r="K20" s="449"/>
      <c r="L20" s="449"/>
      <c r="M20" s="449"/>
      <c r="N20" s="449"/>
      <c r="O20" s="449"/>
      <c r="P20" s="449"/>
      <c r="Q20" s="449"/>
      <c r="R20" s="449"/>
      <c r="S20" s="348">
        <f>S22+'приложение 1.1 2016-2017 тр'!S19</f>
        <v>1423</v>
      </c>
      <c r="T20" s="348">
        <f>T22+'приложение 1.1 2016-2017 тр'!T19</f>
        <v>2196</v>
      </c>
      <c r="U20" s="348">
        <f>U22+'приложение 1.1 2016-2017 тр'!U19</f>
        <v>2719</v>
      </c>
      <c r="V20" s="348">
        <f>V22+'приложение 1.1 2016-2017 тр'!V19</f>
        <v>41293</v>
      </c>
      <c r="W20" s="348">
        <f>W22+'приложение 1.1 2016-2017 тр'!W19</f>
        <v>17197</v>
      </c>
      <c r="X20" s="348" t="e">
        <f>X21+'приложение 1.1 2016-2017 тр'!X18</f>
        <v>#REF!</v>
      </c>
      <c r="Y20" s="349">
        <f aca="true" t="shared" si="0" ref="Y20:Y25">V20+W20</f>
        <v>58490</v>
      </c>
    </row>
    <row r="21" spans="1:25" ht="31.5">
      <c r="A21" s="318"/>
      <c r="B21" s="317" t="s">
        <v>460</v>
      </c>
      <c r="C21" s="320"/>
      <c r="D21" s="320"/>
      <c r="E21" s="317"/>
      <c r="F21" s="317"/>
      <c r="G21" s="348">
        <f>G23+'приложение 1.1 2016-2017 тр'!G20</f>
        <v>140009.60129</v>
      </c>
      <c r="H21" s="348">
        <f>H23+'приложение 1.1 2016-2017 тр'!H20</f>
        <v>14574</v>
      </c>
      <c r="I21" s="348">
        <f>I23+'приложение 1.1 2016-2017 тр'!I20</f>
        <v>14574</v>
      </c>
      <c r="J21" s="321"/>
      <c r="K21" s="321"/>
      <c r="L21" s="321"/>
      <c r="M21" s="321"/>
      <c r="N21" s="321"/>
      <c r="O21" s="321"/>
      <c r="P21" s="321"/>
      <c r="Q21" s="321"/>
      <c r="R21" s="321"/>
      <c r="S21" s="348" t="e">
        <f>S23+'приложение 1.1 2016-2017 тр'!S20</f>
        <v>#REF!</v>
      </c>
      <c r="T21" s="348" t="e">
        <f>T23+'приложение 1.1 2016-2017 тр'!T20</f>
        <v>#REF!</v>
      </c>
      <c r="U21" s="348" t="e">
        <f>U23+'приложение 1.1 2016-2017 тр'!U20</f>
        <v>#REF!</v>
      </c>
      <c r="V21" s="348">
        <f>V23+'приложение 1.1 2016-2017 тр'!V20</f>
        <v>30924.00354</v>
      </c>
      <c r="W21" s="348">
        <f>W23+'приложение 1.1 2016-2017 тр'!W20</f>
        <v>14574</v>
      </c>
      <c r="X21" s="348" t="e">
        <f>X23+'приложение 1.1 2016-2017 тр'!X20</f>
        <v>#REF!</v>
      </c>
      <c r="Y21" s="349">
        <f t="shared" si="0"/>
        <v>45498.003540000005</v>
      </c>
    </row>
    <row r="22" spans="1:25" ht="15.75">
      <c r="A22" s="11"/>
      <c r="B22" s="12" t="s">
        <v>456</v>
      </c>
      <c r="C22" s="13"/>
      <c r="D22" s="13"/>
      <c r="E22" s="12"/>
      <c r="F22" s="12"/>
      <c r="G22" s="183">
        <v>10125</v>
      </c>
      <c r="H22" s="183">
        <v>0</v>
      </c>
      <c r="I22" s="183">
        <f>W22</f>
        <v>0</v>
      </c>
      <c r="J22" s="450"/>
      <c r="K22" s="450"/>
      <c r="L22" s="450"/>
      <c r="M22" s="450"/>
      <c r="N22" s="450"/>
      <c r="O22" s="450"/>
      <c r="P22" s="450"/>
      <c r="Q22" s="450"/>
      <c r="R22" s="450"/>
      <c r="S22" s="183">
        <v>1423</v>
      </c>
      <c r="T22" s="183">
        <v>2196</v>
      </c>
      <c r="U22" s="183">
        <v>2719</v>
      </c>
      <c r="V22" s="183">
        <v>3263</v>
      </c>
      <c r="W22" s="183">
        <v>0</v>
      </c>
      <c r="X22" s="183"/>
      <c r="Y22" s="451">
        <f t="shared" si="0"/>
        <v>3263</v>
      </c>
    </row>
    <row r="23" spans="1:25" ht="31.5">
      <c r="A23" s="11"/>
      <c r="B23" s="12" t="s">
        <v>459</v>
      </c>
      <c r="C23" s="12"/>
      <c r="D23" s="13"/>
      <c r="E23" s="12"/>
      <c r="F23" s="12"/>
      <c r="G23" s="183">
        <f>G24</f>
        <v>9261.5911</v>
      </c>
      <c r="H23" s="183">
        <f>H24</f>
        <v>2400</v>
      </c>
      <c r="I23" s="183">
        <f>I24</f>
        <v>2400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 t="e">
        <f aca="true" t="shared" si="1" ref="S23:Y23">S24</f>
        <v>#REF!</v>
      </c>
      <c r="T23" s="183" t="e">
        <f t="shared" si="1"/>
        <v>#REF!</v>
      </c>
      <c r="U23" s="183" t="e">
        <f t="shared" si="1"/>
        <v>#REF!</v>
      </c>
      <c r="V23" s="183">
        <f t="shared" si="1"/>
        <v>0</v>
      </c>
      <c r="W23" s="183">
        <f t="shared" si="1"/>
        <v>2400</v>
      </c>
      <c r="X23" s="183">
        <f t="shared" si="1"/>
        <v>0</v>
      </c>
      <c r="Y23" s="275">
        <f t="shared" si="1"/>
        <v>2400</v>
      </c>
    </row>
    <row r="24" spans="1:25" ht="47.25" customHeight="1">
      <c r="A24" s="5">
        <v>1</v>
      </c>
      <c r="B24" s="6" t="s">
        <v>21</v>
      </c>
      <c r="C24" s="6"/>
      <c r="D24" s="6"/>
      <c r="E24" s="6"/>
      <c r="F24" s="6"/>
      <c r="G24" s="182">
        <f>SUM(G26+G28+G29)</f>
        <v>9261.5911</v>
      </c>
      <c r="H24" s="182">
        <f>SUM(H26+H28+H29)</f>
        <v>2400</v>
      </c>
      <c r="I24" s="182">
        <f>SUM(I26+I28+I29)</f>
        <v>2400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 t="e">
        <f>S26+S28+S29+#REF!</f>
        <v>#REF!</v>
      </c>
      <c r="T24" s="182" t="e">
        <f>T26+T28+T29+#REF!</f>
        <v>#REF!</v>
      </c>
      <c r="U24" s="182" t="e">
        <f>U26+U28+U29+#REF!</f>
        <v>#REF!</v>
      </c>
      <c r="V24" s="182">
        <f>V26+V28+V29</f>
        <v>0</v>
      </c>
      <c r="W24" s="182">
        <f>W26+W28+W29</f>
        <v>2400</v>
      </c>
      <c r="X24" s="182">
        <f>X26+X28+X29</f>
        <v>0</v>
      </c>
      <c r="Y24" s="275">
        <f>Y26+Y28+Y29</f>
        <v>2400</v>
      </c>
    </row>
    <row r="25" spans="1:25" ht="54.75" customHeight="1">
      <c r="A25" s="21" t="s">
        <v>22</v>
      </c>
      <c r="B25" s="22" t="s">
        <v>23</v>
      </c>
      <c r="C25" s="22"/>
      <c r="D25" s="22"/>
      <c r="E25" s="22"/>
      <c r="F25" s="22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373">
        <f t="shared" si="0"/>
        <v>0</v>
      </c>
    </row>
    <row r="26" spans="1:26" ht="37.5" customHeight="1">
      <c r="A26" s="18" t="s">
        <v>194</v>
      </c>
      <c r="B26" s="19" t="s">
        <v>331</v>
      </c>
      <c r="C26" s="20"/>
      <c r="D26" s="20"/>
      <c r="E26" s="20"/>
      <c r="F26" s="20"/>
      <c r="G26" s="287">
        <f>G27</f>
        <v>7794.5911</v>
      </c>
      <c r="H26" s="287">
        <f>W26</f>
        <v>2400</v>
      </c>
      <c r="I26" s="162">
        <f>W26</f>
        <v>2400</v>
      </c>
      <c r="J26" s="162"/>
      <c r="K26" s="162"/>
      <c r="L26" s="162"/>
      <c r="M26" s="162"/>
      <c r="N26" s="162"/>
      <c r="O26" s="162"/>
      <c r="P26" s="162"/>
      <c r="Q26" s="162"/>
      <c r="R26" s="162"/>
      <c r="S26" s="162">
        <f>S27</f>
        <v>423</v>
      </c>
      <c r="T26" s="162">
        <f>T27</f>
        <v>1694.8612</v>
      </c>
      <c r="U26" s="162">
        <f>U27</f>
        <v>3277</v>
      </c>
      <c r="V26" s="162">
        <f>V27</f>
        <v>0</v>
      </c>
      <c r="W26" s="162">
        <f>W27</f>
        <v>2400</v>
      </c>
      <c r="X26" s="162"/>
      <c r="Y26" s="373">
        <f>V26+W26</f>
        <v>2400</v>
      </c>
      <c r="Z26" s="109"/>
    </row>
    <row r="27" spans="1:26" ht="20.25" customHeight="1">
      <c r="A27" s="264" t="s">
        <v>337</v>
      </c>
      <c r="B27" s="19" t="s">
        <v>330</v>
      </c>
      <c r="C27" s="20"/>
      <c r="D27" s="20"/>
      <c r="E27" s="20">
        <v>2013</v>
      </c>
      <c r="F27" s="20">
        <v>2017</v>
      </c>
      <c r="G27" s="161">
        <f>5394.5911+2400</f>
        <v>7794.5911</v>
      </c>
      <c r="H27" s="162">
        <f>W27</f>
        <v>2400</v>
      </c>
      <c r="I27" s="162">
        <f>W27</f>
        <v>2400</v>
      </c>
      <c r="J27" s="20"/>
      <c r="K27" s="20"/>
      <c r="L27" s="20"/>
      <c r="M27" s="20"/>
      <c r="N27" s="181"/>
      <c r="O27" s="181"/>
      <c r="P27" s="20"/>
      <c r="Q27" s="20"/>
      <c r="R27" s="20"/>
      <c r="S27" s="162">
        <v>423</v>
      </c>
      <c r="T27" s="162">
        <v>1694.8612</v>
      </c>
      <c r="U27" s="108">
        <v>3277</v>
      </c>
      <c r="V27" s="108">
        <v>0</v>
      </c>
      <c r="W27" s="108">
        <v>2400</v>
      </c>
      <c r="X27" s="108"/>
      <c r="Y27" s="373">
        <f>V27+W27</f>
        <v>2400</v>
      </c>
      <c r="Z27" s="109"/>
    </row>
    <row r="28" spans="1:25" ht="33.75" customHeight="1">
      <c r="A28" s="16" t="s">
        <v>196</v>
      </c>
      <c r="B28" s="17" t="s">
        <v>316</v>
      </c>
      <c r="C28" s="17"/>
      <c r="D28" s="17"/>
      <c r="E28" s="14">
        <v>2013</v>
      </c>
      <c r="F28" s="14">
        <v>2013</v>
      </c>
      <c r="G28" s="161">
        <v>1000</v>
      </c>
      <c r="H28" s="161">
        <f>Y28</f>
        <v>0</v>
      </c>
      <c r="I28" s="162">
        <f>W28</f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61">
        <v>1000</v>
      </c>
      <c r="T28" s="161"/>
      <c r="U28" s="161"/>
      <c r="V28" s="161"/>
      <c r="W28" s="161"/>
      <c r="X28" s="161"/>
      <c r="Y28" s="373"/>
    </row>
    <row r="29" spans="1:26" ht="32.25" thickBot="1">
      <c r="A29" s="537" t="s">
        <v>198</v>
      </c>
      <c r="B29" s="538" t="s">
        <v>417</v>
      </c>
      <c r="C29" s="539"/>
      <c r="D29" s="540"/>
      <c r="E29" s="539">
        <v>2015</v>
      </c>
      <c r="F29" s="539">
        <v>2015</v>
      </c>
      <c r="G29" s="433">
        <v>467</v>
      </c>
      <c r="H29" s="433">
        <f>Y29</f>
        <v>0</v>
      </c>
      <c r="I29" s="201">
        <f>W29</f>
        <v>0</v>
      </c>
      <c r="J29" s="539"/>
      <c r="K29" s="539"/>
      <c r="L29" s="432"/>
      <c r="M29" s="541"/>
      <c r="N29" s="432"/>
      <c r="O29" s="432"/>
      <c r="P29" s="432"/>
      <c r="Q29" s="432"/>
      <c r="R29" s="539"/>
      <c r="S29" s="433"/>
      <c r="T29" s="433"/>
      <c r="U29" s="433">
        <v>467</v>
      </c>
      <c r="V29" s="433">
        <v>0</v>
      </c>
      <c r="W29" s="433">
        <v>0</v>
      </c>
      <c r="X29" s="433"/>
      <c r="Y29" s="542">
        <f>V29+W29</f>
        <v>0</v>
      </c>
      <c r="Z29" s="109"/>
    </row>
    <row r="32" spans="2:25" ht="18.75">
      <c r="B32" s="222" t="s">
        <v>230</v>
      </c>
      <c r="C32" s="222"/>
      <c r="D32" s="220"/>
      <c r="E32" s="220"/>
      <c r="F32" s="220"/>
      <c r="G32" s="220"/>
      <c r="H32" s="220"/>
      <c r="I32" s="220"/>
      <c r="J32" s="222"/>
      <c r="K32" s="222"/>
      <c r="L32" s="222"/>
      <c r="M32" s="222"/>
      <c r="N32" s="222"/>
      <c r="O32" s="222"/>
      <c r="P32" s="222"/>
      <c r="Q32" s="222"/>
      <c r="R32" s="222" t="s">
        <v>231</v>
      </c>
      <c r="S32" s="222"/>
      <c r="T32" s="222"/>
      <c r="U32" s="222"/>
      <c r="V32" s="222"/>
      <c r="W32" s="222"/>
      <c r="X32" s="222"/>
      <c r="Y32" s="222"/>
    </row>
  </sheetData>
  <sheetProtection/>
  <mergeCells count="16">
    <mergeCell ref="C17:C18"/>
    <mergeCell ref="E17:E19"/>
    <mergeCell ref="F17:F19"/>
    <mergeCell ref="A13:Y13"/>
    <mergeCell ref="A14:Y14"/>
    <mergeCell ref="A17:A19"/>
    <mergeCell ref="B17:B19"/>
    <mergeCell ref="D17:D18"/>
    <mergeCell ref="H17:H18"/>
    <mergeCell ref="W16:Y16"/>
    <mergeCell ref="R9:Y9"/>
    <mergeCell ref="J17:R17"/>
    <mergeCell ref="U8:Y8"/>
    <mergeCell ref="G17:G18"/>
    <mergeCell ref="I17:I18"/>
    <mergeCell ref="S17:Y17"/>
  </mergeCells>
  <printOptions/>
  <pageMargins left="0.2362204724409449" right="0.15748031496062992" top="0.5511811023622047" bottom="0.15748031496062992" header="0.5118110236220472" footer="0.1574803149606299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Z53"/>
  <sheetViews>
    <sheetView zoomScaleSheetLayoutView="100" workbookViewId="0" topLeftCell="A17">
      <selection activeCell="EW25" sqref="EW25"/>
    </sheetView>
  </sheetViews>
  <sheetFormatPr defaultColWidth="1.25" defaultRowHeight="15.75"/>
  <cols>
    <col min="1" max="6" width="1.25" style="412" customWidth="1"/>
    <col min="7" max="7" width="15.625" style="412" customWidth="1"/>
    <col min="8" max="8" width="0.37109375" style="412" customWidth="1"/>
    <col min="9" max="9" width="1.25" style="412" customWidth="1"/>
    <col min="10" max="18" width="0" style="412" hidden="1" customWidth="1"/>
    <col min="19" max="27" width="1.25" style="412" customWidth="1"/>
    <col min="28" max="30" width="0" style="412" hidden="1" customWidth="1"/>
    <col min="31" max="33" width="1.25" style="412" customWidth="1"/>
    <col min="34" max="42" width="0" style="412" hidden="1" customWidth="1"/>
    <col min="43" max="51" width="1.25" style="412" customWidth="1"/>
    <col min="52" max="52" width="1.25" style="412" hidden="1" customWidth="1"/>
    <col min="53" max="54" width="0" style="412" hidden="1" customWidth="1"/>
    <col min="55" max="63" width="1.25" style="412" customWidth="1"/>
    <col min="64" max="69" width="0" style="412" hidden="1" customWidth="1"/>
    <col min="70" max="90" width="1.25" style="412" customWidth="1"/>
    <col min="91" max="93" width="0" style="412" hidden="1" customWidth="1"/>
    <col min="94" max="96" width="1.25" style="412" customWidth="1"/>
    <col min="97" max="102" width="0" style="412" hidden="1" customWidth="1"/>
    <col min="103" max="104" width="1.25" style="412" customWidth="1"/>
    <col min="105" max="105" width="2.00390625" style="412" customWidth="1"/>
    <col min="106" max="107" width="1.25" style="412" customWidth="1"/>
    <col min="108" max="108" width="1.875" style="412" customWidth="1"/>
    <col min="109" max="114" width="1.25" style="412" customWidth="1"/>
    <col min="115" max="115" width="2.00390625" style="412" customWidth="1"/>
    <col min="116" max="118" width="1.25" style="412" customWidth="1"/>
    <col min="119" max="119" width="1.75390625" style="412" customWidth="1"/>
    <col min="120" max="120" width="1.25" style="412" customWidth="1"/>
    <col min="121" max="121" width="1.625" style="412" customWidth="1"/>
    <col min="122" max="123" width="1.25" style="412" customWidth="1"/>
    <col min="124" max="126" width="0" style="412" hidden="1" customWidth="1"/>
    <col min="127" max="127" width="1.25" style="412" customWidth="1"/>
    <col min="128" max="128" width="1.75390625" style="412" customWidth="1"/>
    <col min="129" max="16384" width="1.25" style="412" customWidth="1"/>
  </cols>
  <sheetData>
    <row r="1" s="409" customFormat="1" ht="11.25" hidden="1">
      <c r="DZ1" s="410" t="s">
        <v>410</v>
      </c>
    </row>
    <row r="2" s="409" customFormat="1" ht="11.25" customHeight="1" hidden="1">
      <c r="DZ2" s="410" t="s">
        <v>7</v>
      </c>
    </row>
    <row r="3" s="409" customFormat="1" ht="11.25" customHeight="1" hidden="1">
      <c r="DZ3" s="410" t="s">
        <v>380</v>
      </c>
    </row>
    <row r="4" s="409" customFormat="1" ht="11.25" hidden="1">
      <c r="DZ4" s="411" t="s">
        <v>381</v>
      </c>
    </row>
    <row r="5" ht="15.75">
      <c r="DZ5" s="3" t="s">
        <v>414</v>
      </c>
    </row>
    <row r="6" spans="2:130" s="549" customFormat="1" ht="12.75"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7"/>
      <c r="AV6" s="547"/>
      <c r="AW6" s="547"/>
      <c r="AX6" s="547"/>
      <c r="AY6" s="547"/>
      <c r="AZ6" s="547"/>
      <c r="BA6" s="547"/>
      <c r="BB6" s="547"/>
      <c r="BC6" s="547"/>
      <c r="BD6" s="547"/>
      <c r="BE6" s="547"/>
      <c r="BF6" s="547"/>
      <c r="BG6" s="547"/>
      <c r="BH6" s="547"/>
      <c r="BI6" s="547"/>
      <c r="BJ6" s="547"/>
      <c r="BK6" s="547"/>
      <c r="BL6" s="547"/>
      <c r="BM6" s="547"/>
      <c r="BN6" s="547"/>
      <c r="BO6" s="547"/>
      <c r="BP6" s="547"/>
      <c r="BQ6" s="547"/>
      <c r="BR6" s="547"/>
      <c r="BS6" s="547"/>
      <c r="BT6" s="547"/>
      <c r="BU6" s="547"/>
      <c r="BV6" s="547"/>
      <c r="BW6" s="547"/>
      <c r="BX6" s="547"/>
      <c r="BY6" s="547"/>
      <c r="BZ6" s="547"/>
      <c r="CA6" s="547"/>
      <c r="CB6" s="547"/>
      <c r="CC6" s="547"/>
      <c r="CD6" s="547"/>
      <c r="CE6" s="547"/>
      <c r="CF6" s="547"/>
      <c r="CG6" s="547"/>
      <c r="CH6" s="547"/>
      <c r="CI6" s="547"/>
      <c r="CJ6" s="547"/>
      <c r="CK6" s="547"/>
      <c r="CL6" s="547"/>
      <c r="CM6" s="547"/>
      <c r="CN6" s="547"/>
      <c r="CO6" s="547"/>
      <c r="CP6" s="547"/>
      <c r="CQ6" s="547"/>
      <c r="CR6" s="547"/>
      <c r="CS6" s="547"/>
      <c r="CT6" s="547"/>
      <c r="CU6" s="547"/>
      <c r="CV6" s="547"/>
      <c r="CW6" s="547"/>
      <c r="CX6" s="547"/>
      <c r="CY6" s="547"/>
      <c r="CZ6" s="547"/>
      <c r="DA6" s="547"/>
      <c r="DB6" s="547"/>
      <c r="DC6" s="547"/>
      <c r="DD6" s="547"/>
      <c r="DE6" s="547"/>
      <c r="DF6" s="547"/>
      <c r="DG6" s="547"/>
      <c r="DH6" s="547"/>
      <c r="DI6" s="547"/>
      <c r="DJ6" s="547"/>
      <c r="DK6" s="547"/>
      <c r="DL6" s="547"/>
      <c r="DM6" s="547"/>
      <c r="DN6" s="547"/>
      <c r="DO6" s="547"/>
      <c r="DP6" s="547"/>
      <c r="DQ6" s="547"/>
      <c r="DR6" s="547"/>
      <c r="DS6" s="547"/>
      <c r="DT6" s="547"/>
      <c r="DU6" s="547"/>
      <c r="DV6" s="547"/>
      <c r="DW6" s="547"/>
      <c r="DX6" s="547"/>
      <c r="DY6" s="547"/>
      <c r="DZ6" s="548" t="s">
        <v>7</v>
      </c>
    </row>
    <row r="7" ht="6" customHeight="1"/>
    <row r="8" ht="6" customHeight="1"/>
    <row r="9" ht="12.75">
      <c r="A9" s="547" t="s">
        <v>289</v>
      </c>
    </row>
    <row r="10" ht="12.75">
      <c r="A10" s="547"/>
    </row>
    <row r="11" s="413" customFormat="1" ht="15.75">
      <c r="DZ11" s="414" t="s">
        <v>9</v>
      </c>
    </row>
    <row r="12" ht="12.75">
      <c r="DZ12" s="414" t="s">
        <v>416</v>
      </c>
    </row>
    <row r="13" ht="12.75">
      <c r="DZ13" s="414"/>
    </row>
    <row r="14" spans="111:130" ht="15.75" customHeight="1">
      <c r="DG14" s="721" t="s">
        <v>425</v>
      </c>
      <c r="DH14" s="721"/>
      <c r="DI14" s="721"/>
      <c r="DJ14" s="721"/>
      <c r="DK14" s="721"/>
      <c r="DL14" s="721"/>
      <c r="DM14" s="721"/>
      <c r="DN14" s="721"/>
      <c r="DO14" s="721"/>
      <c r="DP14" s="721"/>
      <c r="DQ14" s="721"/>
      <c r="DR14" s="721"/>
      <c r="DS14" s="721"/>
      <c r="DT14" s="721"/>
      <c r="DU14" s="721"/>
      <c r="DV14" s="721"/>
      <c r="DW14" s="721"/>
      <c r="DX14" s="721"/>
      <c r="DY14" s="721"/>
      <c r="DZ14" s="721"/>
    </row>
    <row r="15" spans="119:130" s="415" customFormat="1" ht="15.75" customHeight="1">
      <c r="DO15" s="721" t="s">
        <v>10</v>
      </c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</row>
    <row r="16" ht="6" customHeight="1"/>
    <row r="17" ht="12.75">
      <c r="DZ17" s="414" t="s">
        <v>383</v>
      </c>
    </row>
    <row r="19" spans="1:130" s="416" customFormat="1" ht="15.75">
      <c r="A19" s="726" t="s">
        <v>533</v>
      </c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  <c r="BC19" s="726"/>
      <c r="BD19" s="726"/>
      <c r="BE19" s="726"/>
      <c r="BF19" s="726"/>
      <c r="BG19" s="726"/>
      <c r="BH19" s="726"/>
      <c r="BI19" s="726"/>
      <c r="BJ19" s="726"/>
      <c r="BK19" s="726"/>
      <c r="BL19" s="726"/>
      <c r="BM19" s="726"/>
      <c r="BN19" s="726"/>
      <c r="BO19" s="726"/>
      <c r="BP19" s="726"/>
      <c r="BQ19" s="726"/>
      <c r="BR19" s="726"/>
      <c r="BS19" s="726"/>
      <c r="BT19" s="726"/>
      <c r="BU19" s="726"/>
      <c r="BV19" s="726"/>
      <c r="BW19" s="726"/>
      <c r="BX19" s="726"/>
      <c r="BY19" s="726"/>
      <c r="BZ19" s="726"/>
      <c r="CA19" s="726"/>
      <c r="CB19" s="726"/>
      <c r="CC19" s="726"/>
      <c r="CD19" s="726"/>
      <c r="CE19" s="726"/>
      <c r="CF19" s="726"/>
      <c r="CG19" s="726"/>
      <c r="CH19" s="726"/>
      <c r="CI19" s="726"/>
      <c r="CJ19" s="726"/>
      <c r="CK19" s="726"/>
      <c r="CL19" s="726"/>
      <c r="CM19" s="726"/>
      <c r="CN19" s="726"/>
      <c r="CO19" s="726"/>
      <c r="CP19" s="726"/>
      <c r="CQ19" s="726"/>
      <c r="CR19" s="726"/>
      <c r="CS19" s="726"/>
      <c r="CT19" s="726"/>
      <c r="CU19" s="726"/>
      <c r="CV19" s="726"/>
      <c r="CW19" s="726"/>
      <c r="CX19" s="726"/>
      <c r="CY19" s="726"/>
      <c r="CZ19" s="726"/>
      <c r="DA19" s="726"/>
      <c r="DB19" s="726"/>
      <c r="DC19" s="726"/>
      <c r="DD19" s="726"/>
      <c r="DE19" s="726"/>
      <c r="DF19" s="726"/>
      <c r="DG19" s="726"/>
      <c r="DH19" s="726"/>
      <c r="DI19" s="726"/>
      <c r="DJ19" s="726"/>
      <c r="DK19" s="726"/>
      <c r="DL19" s="726"/>
      <c r="DM19" s="726"/>
      <c r="DN19" s="726"/>
      <c r="DO19" s="726"/>
      <c r="DP19" s="726"/>
      <c r="DQ19" s="726"/>
      <c r="DR19" s="726"/>
      <c r="DS19" s="726"/>
      <c r="DT19" s="726"/>
      <c r="DU19" s="726"/>
      <c r="DV19" s="726"/>
      <c r="DW19" s="726"/>
      <c r="DX19" s="726"/>
      <c r="DY19" s="726"/>
      <c r="DZ19" s="726"/>
    </row>
    <row r="20" spans="1:130" s="416" customFormat="1" ht="15.75">
      <c r="A20" s="726" t="s">
        <v>531</v>
      </c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  <c r="S20" s="726"/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26"/>
      <c r="AI20" s="726"/>
      <c r="AJ20" s="726"/>
      <c r="AK20" s="726"/>
      <c r="AL20" s="726"/>
      <c r="AM20" s="726"/>
      <c r="AN20" s="726"/>
      <c r="AO20" s="726"/>
      <c r="AP20" s="726"/>
      <c r="AQ20" s="726"/>
      <c r="AR20" s="726"/>
      <c r="AS20" s="726"/>
      <c r="AT20" s="726"/>
      <c r="AU20" s="726"/>
      <c r="AV20" s="726"/>
      <c r="AW20" s="726"/>
      <c r="AX20" s="726"/>
      <c r="AY20" s="726"/>
      <c r="AZ20" s="726"/>
      <c r="BA20" s="726"/>
      <c r="BB20" s="726"/>
      <c r="BC20" s="726"/>
      <c r="BD20" s="726"/>
      <c r="BE20" s="726"/>
      <c r="BF20" s="726"/>
      <c r="BG20" s="726"/>
      <c r="BH20" s="726"/>
      <c r="BI20" s="726"/>
      <c r="BJ20" s="726"/>
      <c r="BK20" s="726"/>
      <c r="BL20" s="726"/>
      <c r="BM20" s="726"/>
      <c r="BN20" s="726"/>
      <c r="BO20" s="726"/>
      <c r="BP20" s="726"/>
      <c r="BQ20" s="726"/>
      <c r="BR20" s="726"/>
      <c r="BS20" s="726"/>
      <c r="BT20" s="726"/>
      <c r="BU20" s="726"/>
      <c r="BV20" s="726"/>
      <c r="BW20" s="726"/>
      <c r="BX20" s="726"/>
      <c r="BY20" s="726"/>
      <c r="BZ20" s="726"/>
      <c r="CA20" s="726"/>
      <c r="CB20" s="726"/>
      <c r="CC20" s="726"/>
      <c r="CD20" s="726"/>
      <c r="CE20" s="726"/>
      <c r="CF20" s="726"/>
      <c r="CG20" s="726"/>
      <c r="CH20" s="726"/>
      <c r="CI20" s="726"/>
      <c r="CJ20" s="726"/>
      <c r="CK20" s="726"/>
      <c r="CL20" s="726"/>
      <c r="CM20" s="726"/>
      <c r="CN20" s="726"/>
      <c r="CO20" s="726"/>
      <c r="CP20" s="726"/>
      <c r="CQ20" s="726"/>
      <c r="CR20" s="726"/>
      <c r="CS20" s="726"/>
      <c r="CT20" s="726"/>
      <c r="CU20" s="726"/>
      <c r="CV20" s="726"/>
      <c r="CW20" s="726"/>
      <c r="CX20" s="726"/>
      <c r="CY20" s="726"/>
      <c r="CZ20" s="726"/>
      <c r="DA20" s="726"/>
      <c r="DB20" s="726"/>
      <c r="DC20" s="726"/>
      <c r="DD20" s="726"/>
      <c r="DE20" s="726"/>
      <c r="DF20" s="726"/>
      <c r="DG20" s="726"/>
      <c r="DH20" s="726"/>
      <c r="DI20" s="726"/>
      <c r="DJ20" s="726"/>
      <c r="DK20" s="726"/>
      <c r="DL20" s="726"/>
      <c r="DM20" s="726"/>
      <c r="DN20" s="726"/>
      <c r="DO20" s="726"/>
      <c r="DP20" s="726"/>
      <c r="DQ20" s="726"/>
      <c r="DR20" s="726"/>
      <c r="DS20" s="726"/>
      <c r="DT20" s="726"/>
      <c r="DU20" s="726"/>
      <c r="DV20" s="726"/>
      <c r="DW20" s="726"/>
      <c r="DX20" s="726"/>
      <c r="DY20" s="726"/>
      <c r="DZ20" s="726"/>
    </row>
    <row r="21" spans="121:129" ht="16.5" customHeight="1" thickBot="1">
      <c r="DQ21" s="722" t="s">
        <v>347</v>
      </c>
      <c r="DR21" s="722"/>
      <c r="DS21" s="722"/>
      <c r="DT21" s="722"/>
      <c r="DU21" s="722"/>
      <c r="DV21" s="722"/>
      <c r="DW21" s="722"/>
      <c r="DX21" s="722"/>
      <c r="DY21" s="722"/>
    </row>
    <row r="22" spans="1:130" s="417" customFormat="1" ht="15.75" customHeight="1" thickBot="1">
      <c r="A22" s="727" t="s">
        <v>104</v>
      </c>
      <c r="B22" s="723"/>
      <c r="C22" s="723" t="s">
        <v>384</v>
      </c>
      <c r="D22" s="723"/>
      <c r="E22" s="723"/>
      <c r="F22" s="723"/>
      <c r="G22" s="723"/>
      <c r="H22" s="723"/>
      <c r="I22" s="723"/>
      <c r="J22" s="728" t="s">
        <v>385</v>
      </c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30"/>
      <c r="AH22" s="728" t="s">
        <v>302</v>
      </c>
      <c r="AI22" s="729"/>
      <c r="AJ22" s="729"/>
      <c r="AK22" s="729"/>
      <c r="AL22" s="729"/>
      <c r="AM22" s="729"/>
      <c r="AN22" s="729"/>
      <c r="AO22" s="729"/>
      <c r="AP22" s="729"/>
      <c r="AQ22" s="729"/>
      <c r="AR22" s="729"/>
      <c r="AS22" s="729"/>
      <c r="AT22" s="729"/>
      <c r="AU22" s="729"/>
      <c r="AV22" s="729"/>
      <c r="AW22" s="729"/>
      <c r="AX22" s="729"/>
      <c r="AY22" s="729"/>
      <c r="AZ22" s="729"/>
      <c r="BA22" s="729"/>
      <c r="BB22" s="729"/>
      <c r="BC22" s="729"/>
      <c r="BD22" s="729"/>
      <c r="BE22" s="730"/>
      <c r="BF22" s="723" t="s">
        <v>386</v>
      </c>
      <c r="BG22" s="723"/>
      <c r="BH22" s="723"/>
      <c r="BI22" s="723"/>
      <c r="BJ22" s="723"/>
      <c r="BK22" s="731"/>
      <c r="BL22" s="760" t="s">
        <v>387</v>
      </c>
      <c r="BM22" s="761"/>
      <c r="BN22" s="761"/>
      <c r="BO22" s="761"/>
      <c r="BP22" s="761"/>
      <c r="BQ22" s="761"/>
      <c r="BR22" s="761"/>
      <c r="BS22" s="761"/>
      <c r="BT22" s="761"/>
      <c r="BU22" s="761"/>
      <c r="BV22" s="761"/>
      <c r="BW22" s="761"/>
      <c r="BX22" s="761"/>
      <c r="BY22" s="761"/>
      <c r="BZ22" s="761"/>
      <c r="CA22" s="761"/>
      <c r="CB22" s="761"/>
      <c r="CC22" s="761"/>
      <c r="CD22" s="761"/>
      <c r="CE22" s="761"/>
      <c r="CF22" s="761"/>
      <c r="CG22" s="761"/>
      <c r="CH22" s="761"/>
      <c r="CI22" s="761"/>
      <c r="CJ22" s="761"/>
      <c r="CK22" s="761"/>
      <c r="CL22" s="761"/>
      <c r="CM22" s="761"/>
      <c r="CN22" s="761"/>
      <c r="CO22" s="761"/>
      <c r="CP22" s="761"/>
      <c r="CQ22" s="761"/>
      <c r="CR22" s="761"/>
      <c r="CS22" s="761"/>
      <c r="CT22" s="761"/>
      <c r="CU22" s="761"/>
      <c r="CV22" s="761"/>
      <c r="CW22" s="761"/>
      <c r="CX22" s="761"/>
      <c r="CY22" s="761"/>
      <c r="CZ22" s="761"/>
      <c r="DA22" s="761"/>
      <c r="DB22" s="761"/>
      <c r="DC22" s="761"/>
      <c r="DD22" s="761"/>
      <c r="DE22" s="761"/>
      <c r="DF22" s="761"/>
      <c r="DG22" s="761"/>
      <c r="DH22" s="761"/>
      <c r="DI22" s="761"/>
      <c r="DJ22" s="761"/>
      <c r="DK22" s="761"/>
      <c r="DL22" s="761"/>
      <c r="DM22" s="761"/>
      <c r="DN22" s="761"/>
      <c r="DO22" s="761"/>
      <c r="DP22" s="761"/>
      <c r="DQ22" s="761"/>
      <c r="DR22" s="761"/>
      <c r="DS22" s="761"/>
      <c r="DT22" s="761"/>
      <c r="DU22" s="761"/>
      <c r="DV22" s="761"/>
      <c r="DW22" s="761"/>
      <c r="DX22" s="761"/>
      <c r="DY22" s="762"/>
      <c r="DZ22" s="421"/>
    </row>
    <row r="23" spans="1:129" s="417" customFormat="1" ht="9.75">
      <c r="A23" s="733" t="s">
        <v>388</v>
      </c>
      <c r="B23" s="724"/>
      <c r="C23" s="724" t="s">
        <v>389</v>
      </c>
      <c r="D23" s="724"/>
      <c r="E23" s="724"/>
      <c r="F23" s="724"/>
      <c r="G23" s="724"/>
      <c r="H23" s="724"/>
      <c r="I23" s="724"/>
      <c r="J23" s="734" t="s">
        <v>390</v>
      </c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6"/>
      <c r="AH23" s="734" t="s">
        <v>390</v>
      </c>
      <c r="AI23" s="735"/>
      <c r="AJ23" s="735"/>
      <c r="AK23" s="735"/>
      <c r="AL23" s="735"/>
      <c r="AM23" s="735"/>
      <c r="AN23" s="735"/>
      <c r="AO23" s="735"/>
      <c r="AP23" s="735"/>
      <c r="AQ23" s="735"/>
      <c r="AR23" s="735"/>
      <c r="AS23" s="735"/>
      <c r="AT23" s="735"/>
      <c r="AU23" s="735"/>
      <c r="AV23" s="735"/>
      <c r="AW23" s="735"/>
      <c r="AX23" s="735"/>
      <c r="AY23" s="735"/>
      <c r="AZ23" s="735"/>
      <c r="BA23" s="735"/>
      <c r="BB23" s="735"/>
      <c r="BC23" s="735"/>
      <c r="BD23" s="735"/>
      <c r="BE23" s="736"/>
      <c r="BF23" s="724" t="s">
        <v>391</v>
      </c>
      <c r="BG23" s="724"/>
      <c r="BH23" s="724"/>
      <c r="BI23" s="724"/>
      <c r="BJ23" s="724"/>
      <c r="BK23" s="737"/>
      <c r="BL23" s="727" t="s">
        <v>412</v>
      </c>
      <c r="BM23" s="723"/>
      <c r="BN23" s="723"/>
      <c r="BO23" s="723" t="s">
        <v>413</v>
      </c>
      <c r="BP23" s="723"/>
      <c r="BQ23" s="723"/>
      <c r="BR23" s="723" t="s">
        <v>413</v>
      </c>
      <c r="BS23" s="723"/>
      <c r="BT23" s="723"/>
      <c r="BU23" s="728" t="s">
        <v>490</v>
      </c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H23" s="729"/>
      <c r="CI23" s="730"/>
      <c r="CJ23" s="723" t="s">
        <v>392</v>
      </c>
      <c r="CK23" s="723"/>
      <c r="CL23" s="723"/>
      <c r="CM23" s="723" t="s">
        <v>392</v>
      </c>
      <c r="CN23" s="723"/>
      <c r="CO23" s="723"/>
      <c r="CP23" s="739" t="s">
        <v>18</v>
      </c>
      <c r="CQ23" s="739"/>
      <c r="CR23" s="740"/>
      <c r="CS23" s="727" t="s">
        <v>412</v>
      </c>
      <c r="CT23" s="723"/>
      <c r="CU23" s="723"/>
      <c r="CV23" s="723" t="s">
        <v>413</v>
      </c>
      <c r="CW23" s="723"/>
      <c r="CX23" s="723"/>
      <c r="CY23" s="723" t="s">
        <v>413</v>
      </c>
      <c r="CZ23" s="723"/>
      <c r="DA23" s="723"/>
      <c r="DB23" s="728" t="s">
        <v>490</v>
      </c>
      <c r="DC23" s="729"/>
      <c r="DD23" s="729"/>
      <c r="DE23" s="729"/>
      <c r="DF23" s="729"/>
      <c r="DG23" s="729"/>
      <c r="DH23" s="729"/>
      <c r="DI23" s="729"/>
      <c r="DJ23" s="729"/>
      <c r="DK23" s="729"/>
      <c r="DL23" s="729"/>
      <c r="DM23" s="729"/>
      <c r="DN23" s="729"/>
      <c r="DO23" s="729"/>
      <c r="DP23" s="730"/>
      <c r="DQ23" s="723" t="s">
        <v>392</v>
      </c>
      <c r="DR23" s="723"/>
      <c r="DS23" s="723"/>
      <c r="DT23" s="723" t="s">
        <v>392</v>
      </c>
      <c r="DU23" s="723"/>
      <c r="DV23" s="723"/>
      <c r="DW23" s="739" t="s">
        <v>18</v>
      </c>
      <c r="DX23" s="739"/>
      <c r="DY23" s="740"/>
    </row>
    <row r="24" spans="1:129" s="417" customFormat="1" ht="9.75">
      <c r="A24" s="733"/>
      <c r="B24" s="724"/>
      <c r="C24" s="724"/>
      <c r="D24" s="724"/>
      <c r="E24" s="724"/>
      <c r="F24" s="724"/>
      <c r="G24" s="724"/>
      <c r="H24" s="724"/>
      <c r="I24" s="724"/>
      <c r="J24" s="724">
        <v>2013</v>
      </c>
      <c r="K24" s="724"/>
      <c r="L24" s="724"/>
      <c r="M24" s="724">
        <v>2014</v>
      </c>
      <c r="N24" s="724"/>
      <c r="O24" s="724"/>
      <c r="P24" s="724">
        <v>2015</v>
      </c>
      <c r="Q24" s="724"/>
      <c r="R24" s="724"/>
      <c r="S24" s="724">
        <v>2016</v>
      </c>
      <c r="T24" s="724"/>
      <c r="U24" s="724"/>
      <c r="V24" s="724">
        <v>2017</v>
      </c>
      <c r="W24" s="724"/>
      <c r="X24" s="724"/>
      <c r="Y24" s="724">
        <v>2018</v>
      </c>
      <c r="Z24" s="724"/>
      <c r="AA24" s="724"/>
      <c r="AB24" s="724">
        <v>2019</v>
      </c>
      <c r="AC24" s="724"/>
      <c r="AD24" s="724"/>
      <c r="AE24" s="738" t="s">
        <v>18</v>
      </c>
      <c r="AF24" s="738"/>
      <c r="AG24" s="738"/>
      <c r="AH24" s="724">
        <v>2013</v>
      </c>
      <c r="AI24" s="724"/>
      <c r="AJ24" s="724"/>
      <c r="AK24" s="724">
        <v>2014</v>
      </c>
      <c r="AL24" s="724"/>
      <c r="AM24" s="724"/>
      <c r="AN24" s="724">
        <v>2015</v>
      </c>
      <c r="AO24" s="724"/>
      <c r="AP24" s="724"/>
      <c r="AQ24" s="724">
        <v>2016</v>
      </c>
      <c r="AR24" s="724"/>
      <c r="AS24" s="724"/>
      <c r="AT24" s="724">
        <v>2017</v>
      </c>
      <c r="AU24" s="724"/>
      <c r="AV24" s="724"/>
      <c r="AW24" s="724">
        <v>2018</v>
      </c>
      <c r="AX24" s="724"/>
      <c r="AY24" s="724"/>
      <c r="AZ24" s="724">
        <v>2019</v>
      </c>
      <c r="BA24" s="724"/>
      <c r="BB24" s="724"/>
      <c r="BC24" s="738" t="s">
        <v>18</v>
      </c>
      <c r="BD24" s="738"/>
      <c r="BE24" s="738"/>
      <c r="BF24" s="724" t="s">
        <v>393</v>
      </c>
      <c r="BG24" s="724"/>
      <c r="BH24" s="724"/>
      <c r="BI24" s="724"/>
      <c r="BJ24" s="724"/>
      <c r="BK24" s="737"/>
      <c r="BL24" s="733">
        <v>2013</v>
      </c>
      <c r="BM24" s="724"/>
      <c r="BN24" s="724"/>
      <c r="BO24" s="724">
        <v>2014</v>
      </c>
      <c r="BP24" s="724"/>
      <c r="BQ24" s="724"/>
      <c r="BR24" s="724">
        <v>2016</v>
      </c>
      <c r="BS24" s="724"/>
      <c r="BT24" s="724"/>
      <c r="BU24" s="724" t="s">
        <v>394</v>
      </c>
      <c r="BV24" s="724"/>
      <c r="BW24" s="724"/>
      <c r="BX24" s="724" t="s">
        <v>395</v>
      </c>
      <c r="BY24" s="724"/>
      <c r="BZ24" s="724"/>
      <c r="CA24" s="724" t="s">
        <v>396</v>
      </c>
      <c r="CB24" s="724"/>
      <c r="CC24" s="724"/>
      <c r="CD24" s="724" t="s">
        <v>397</v>
      </c>
      <c r="CE24" s="724"/>
      <c r="CF24" s="724"/>
      <c r="CG24" s="738" t="s">
        <v>18</v>
      </c>
      <c r="CH24" s="738"/>
      <c r="CI24" s="738"/>
      <c r="CJ24" s="724">
        <v>2018</v>
      </c>
      <c r="CK24" s="724"/>
      <c r="CL24" s="724"/>
      <c r="CM24" s="724">
        <v>2019</v>
      </c>
      <c r="CN24" s="724"/>
      <c r="CO24" s="724"/>
      <c r="CP24" s="738"/>
      <c r="CQ24" s="738"/>
      <c r="CR24" s="742"/>
      <c r="CS24" s="733">
        <v>2013</v>
      </c>
      <c r="CT24" s="724"/>
      <c r="CU24" s="724"/>
      <c r="CV24" s="724">
        <v>2014</v>
      </c>
      <c r="CW24" s="724"/>
      <c r="CX24" s="724"/>
      <c r="CY24" s="724">
        <v>2016</v>
      </c>
      <c r="CZ24" s="724"/>
      <c r="DA24" s="724"/>
      <c r="DB24" s="724" t="s">
        <v>394</v>
      </c>
      <c r="DC24" s="724"/>
      <c r="DD24" s="724"/>
      <c r="DE24" s="724" t="s">
        <v>395</v>
      </c>
      <c r="DF24" s="724"/>
      <c r="DG24" s="724"/>
      <c r="DH24" s="724" t="s">
        <v>396</v>
      </c>
      <c r="DI24" s="724"/>
      <c r="DJ24" s="724"/>
      <c r="DK24" s="724" t="s">
        <v>397</v>
      </c>
      <c r="DL24" s="724"/>
      <c r="DM24" s="724"/>
      <c r="DN24" s="738" t="s">
        <v>18</v>
      </c>
      <c r="DO24" s="738"/>
      <c r="DP24" s="738"/>
      <c r="DQ24" s="724">
        <v>2018</v>
      </c>
      <c r="DR24" s="724"/>
      <c r="DS24" s="724"/>
      <c r="DT24" s="724">
        <v>2019</v>
      </c>
      <c r="DU24" s="724"/>
      <c r="DV24" s="724"/>
      <c r="DW24" s="738"/>
      <c r="DX24" s="738"/>
      <c r="DY24" s="742"/>
    </row>
    <row r="25" spans="1:129" s="417" customFormat="1" ht="9.75">
      <c r="A25" s="733"/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24"/>
      <c r="AT25" s="724"/>
      <c r="AU25" s="724"/>
      <c r="AV25" s="724"/>
      <c r="AW25" s="724"/>
      <c r="AX25" s="724"/>
      <c r="AY25" s="724"/>
      <c r="AZ25" s="724"/>
      <c r="BA25" s="724"/>
      <c r="BB25" s="724"/>
      <c r="BC25" s="724"/>
      <c r="BD25" s="724"/>
      <c r="BE25" s="724"/>
      <c r="BF25" s="724" t="s">
        <v>398</v>
      </c>
      <c r="BG25" s="724"/>
      <c r="BH25" s="724"/>
      <c r="BI25" s="724"/>
      <c r="BJ25" s="724"/>
      <c r="BK25" s="737"/>
      <c r="BL25" s="733" t="s">
        <v>382</v>
      </c>
      <c r="BM25" s="724"/>
      <c r="BN25" s="724"/>
      <c r="BO25" s="724" t="s">
        <v>382</v>
      </c>
      <c r="BP25" s="724"/>
      <c r="BQ25" s="724"/>
      <c r="BR25" s="724" t="s">
        <v>382</v>
      </c>
      <c r="BS25" s="724"/>
      <c r="BT25" s="724"/>
      <c r="BU25" s="724"/>
      <c r="BV25" s="724"/>
      <c r="BW25" s="724"/>
      <c r="BX25" s="724"/>
      <c r="BY25" s="724"/>
      <c r="BZ25" s="724"/>
      <c r="CA25" s="724"/>
      <c r="CB25" s="724"/>
      <c r="CC25" s="724"/>
      <c r="CD25" s="724"/>
      <c r="CE25" s="724"/>
      <c r="CF25" s="724"/>
      <c r="CG25" s="738"/>
      <c r="CH25" s="738"/>
      <c r="CI25" s="738"/>
      <c r="CJ25" s="724" t="s">
        <v>382</v>
      </c>
      <c r="CK25" s="724"/>
      <c r="CL25" s="724"/>
      <c r="CM25" s="724" t="s">
        <v>382</v>
      </c>
      <c r="CN25" s="724"/>
      <c r="CO25" s="724"/>
      <c r="CP25" s="738"/>
      <c r="CQ25" s="738"/>
      <c r="CR25" s="742"/>
      <c r="CS25" s="733" t="s">
        <v>382</v>
      </c>
      <c r="CT25" s="724"/>
      <c r="CU25" s="724"/>
      <c r="CV25" s="724" t="s">
        <v>382</v>
      </c>
      <c r="CW25" s="724"/>
      <c r="CX25" s="724"/>
      <c r="CY25" s="724" t="s">
        <v>382</v>
      </c>
      <c r="CZ25" s="724"/>
      <c r="DA25" s="724"/>
      <c r="DB25" s="724"/>
      <c r="DC25" s="724"/>
      <c r="DD25" s="724"/>
      <c r="DE25" s="724"/>
      <c r="DF25" s="724"/>
      <c r="DG25" s="724"/>
      <c r="DH25" s="724"/>
      <c r="DI25" s="724"/>
      <c r="DJ25" s="724"/>
      <c r="DK25" s="724"/>
      <c r="DL25" s="724"/>
      <c r="DM25" s="724"/>
      <c r="DN25" s="724"/>
      <c r="DO25" s="724"/>
      <c r="DP25" s="724"/>
      <c r="DQ25" s="724" t="s">
        <v>382</v>
      </c>
      <c r="DR25" s="724"/>
      <c r="DS25" s="724"/>
      <c r="DT25" s="724" t="s">
        <v>382</v>
      </c>
      <c r="DU25" s="724"/>
      <c r="DV25" s="724"/>
      <c r="DW25" s="738"/>
      <c r="DX25" s="738"/>
      <c r="DY25" s="742"/>
    </row>
    <row r="26" spans="1:129" s="417" customFormat="1" ht="9.75">
      <c r="A26" s="733"/>
      <c r="B26" s="724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24"/>
      <c r="AT26" s="724"/>
      <c r="AU26" s="724"/>
      <c r="AV26" s="724"/>
      <c r="AW26" s="724"/>
      <c r="AX26" s="724"/>
      <c r="AY26" s="724"/>
      <c r="AZ26" s="724"/>
      <c r="BA26" s="724"/>
      <c r="BB26" s="724"/>
      <c r="BC26" s="724"/>
      <c r="BD26" s="724"/>
      <c r="BE26" s="724"/>
      <c r="BF26" s="725" t="s">
        <v>399</v>
      </c>
      <c r="BG26" s="725"/>
      <c r="BH26" s="725"/>
      <c r="BI26" s="725"/>
      <c r="BJ26" s="725"/>
      <c r="BK26" s="744"/>
      <c r="BL26" s="732"/>
      <c r="BM26" s="725"/>
      <c r="BN26" s="725"/>
      <c r="BO26" s="725"/>
      <c r="BP26" s="725"/>
      <c r="BQ26" s="725"/>
      <c r="BR26" s="725"/>
      <c r="BS26" s="725"/>
      <c r="BT26" s="725"/>
      <c r="BU26" s="725"/>
      <c r="BV26" s="725"/>
      <c r="BW26" s="725"/>
      <c r="BX26" s="725"/>
      <c r="BY26" s="725"/>
      <c r="BZ26" s="725"/>
      <c r="CA26" s="725"/>
      <c r="CB26" s="725"/>
      <c r="CC26" s="725"/>
      <c r="CD26" s="725"/>
      <c r="CE26" s="725"/>
      <c r="CF26" s="725"/>
      <c r="CG26" s="755"/>
      <c r="CH26" s="755"/>
      <c r="CI26" s="755"/>
      <c r="CJ26" s="725"/>
      <c r="CK26" s="725"/>
      <c r="CL26" s="725"/>
      <c r="CM26" s="725"/>
      <c r="CN26" s="725"/>
      <c r="CO26" s="725"/>
      <c r="CP26" s="755"/>
      <c r="CQ26" s="755"/>
      <c r="CR26" s="756"/>
      <c r="CS26" s="732"/>
      <c r="CT26" s="725"/>
      <c r="CU26" s="725"/>
      <c r="CV26" s="725"/>
      <c r="CW26" s="725"/>
      <c r="CX26" s="725"/>
      <c r="CY26" s="725"/>
      <c r="CZ26" s="725"/>
      <c r="DA26" s="725"/>
      <c r="DB26" s="724"/>
      <c r="DC26" s="724"/>
      <c r="DD26" s="724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5"/>
      <c r="DR26" s="725"/>
      <c r="DS26" s="725"/>
      <c r="DT26" s="725"/>
      <c r="DU26" s="725"/>
      <c r="DV26" s="725"/>
      <c r="DW26" s="755"/>
      <c r="DX26" s="755"/>
      <c r="DY26" s="756"/>
    </row>
    <row r="27" spans="1:130" s="417" customFormat="1" ht="15.75" customHeight="1">
      <c r="A27" s="733"/>
      <c r="B27" s="724"/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24"/>
      <c r="AT27" s="724"/>
      <c r="AU27" s="724"/>
      <c r="AV27" s="724"/>
      <c r="AW27" s="724"/>
      <c r="AX27" s="724"/>
      <c r="AY27" s="724"/>
      <c r="AZ27" s="724"/>
      <c r="BA27" s="724"/>
      <c r="BB27" s="724"/>
      <c r="BC27" s="724"/>
      <c r="BD27" s="724"/>
      <c r="BE27" s="724"/>
      <c r="BF27" s="724" t="s">
        <v>400</v>
      </c>
      <c r="BG27" s="724"/>
      <c r="BH27" s="724"/>
      <c r="BI27" s="724"/>
      <c r="BJ27" s="724"/>
      <c r="BK27" s="737"/>
      <c r="BL27" s="752" t="s">
        <v>401</v>
      </c>
      <c r="BM27" s="753"/>
      <c r="BN27" s="753"/>
      <c r="BO27" s="753"/>
      <c r="BP27" s="753"/>
      <c r="BQ27" s="753"/>
      <c r="BR27" s="753"/>
      <c r="BS27" s="753"/>
      <c r="BT27" s="753"/>
      <c r="BU27" s="753"/>
      <c r="BV27" s="753"/>
      <c r="BW27" s="753"/>
      <c r="BX27" s="753"/>
      <c r="BY27" s="753"/>
      <c r="BZ27" s="753"/>
      <c r="CA27" s="753"/>
      <c r="CB27" s="753"/>
      <c r="CC27" s="753"/>
      <c r="CD27" s="753"/>
      <c r="CE27" s="753"/>
      <c r="CF27" s="753"/>
      <c r="CG27" s="753"/>
      <c r="CH27" s="753"/>
      <c r="CI27" s="753"/>
      <c r="CJ27" s="753"/>
      <c r="CK27" s="753"/>
      <c r="CL27" s="753"/>
      <c r="CM27" s="753"/>
      <c r="CN27" s="753"/>
      <c r="CO27" s="753"/>
      <c r="CP27" s="753"/>
      <c r="CQ27" s="753"/>
      <c r="CR27" s="754"/>
      <c r="CS27" s="757" t="s">
        <v>400</v>
      </c>
      <c r="CT27" s="735"/>
      <c r="CU27" s="735"/>
      <c r="CV27" s="735"/>
      <c r="CW27" s="735"/>
      <c r="CX27" s="735"/>
      <c r="CY27" s="735"/>
      <c r="CZ27" s="735"/>
      <c r="DA27" s="735"/>
      <c r="DB27" s="735"/>
      <c r="DC27" s="735"/>
      <c r="DD27" s="735"/>
      <c r="DE27" s="735"/>
      <c r="DF27" s="735"/>
      <c r="DG27" s="735"/>
      <c r="DH27" s="735"/>
      <c r="DI27" s="735"/>
      <c r="DJ27" s="735"/>
      <c r="DK27" s="735"/>
      <c r="DL27" s="735"/>
      <c r="DM27" s="735"/>
      <c r="DN27" s="735"/>
      <c r="DO27" s="735"/>
      <c r="DP27" s="735"/>
      <c r="DQ27" s="735"/>
      <c r="DR27" s="735"/>
      <c r="DS27" s="735"/>
      <c r="DT27" s="735"/>
      <c r="DU27" s="735"/>
      <c r="DV27" s="735"/>
      <c r="DW27" s="735"/>
      <c r="DX27" s="735"/>
      <c r="DY27" s="758"/>
      <c r="DZ27" s="421"/>
    </row>
    <row r="28" spans="1:129" s="418" customFormat="1" ht="10.5">
      <c r="A28" s="745">
        <v>1</v>
      </c>
      <c r="B28" s="741"/>
      <c r="C28" s="741">
        <v>2</v>
      </c>
      <c r="D28" s="741"/>
      <c r="E28" s="741"/>
      <c r="F28" s="741"/>
      <c r="G28" s="741"/>
      <c r="H28" s="741"/>
      <c r="I28" s="741"/>
      <c r="J28" s="741">
        <v>3</v>
      </c>
      <c r="K28" s="741"/>
      <c r="L28" s="741"/>
      <c r="M28" s="741">
        <v>4</v>
      </c>
      <c r="N28" s="741"/>
      <c r="O28" s="741"/>
      <c r="P28" s="741">
        <v>5</v>
      </c>
      <c r="Q28" s="741"/>
      <c r="R28" s="741"/>
      <c r="S28" s="741">
        <v>3</v>
      </c>
      <c r="T28" s="741"/>
      <c r="U28" s="741"/>
      <c r="V28" s="741">
        <v>4</v>
      </c>
      <c r="W28" s="741"/>
      <c r="X28" s="741"/>
      <c r="Y28" s="741">
        <v>5</v>
      </c>
      <c r="Z28" s="741"/>
      <c r="AA28" s="741"/>
      <c r="AB28" s="741">
        <v>9</v>
      </c>
      <c r="AC28" s="741"/>
      <c r="AD28" s="741"/>
      <c r="AE28" s="741">
        <v>6</v>
      </c>
      <c r="AF28" s="741"/>
      <c r="AG28" s="741"/>
      <c r="AH28" s="741">
        <v>10</v>
      </c>
      <c r="AI28" s="741"/>
      <c r="AJ28" s="741"/>
      <c r="AK28" s="741">
        <v>11</v>
      </c>
      <c r="AL28" s="741"/>
      <c r="AM28" s="741"/>
      <c r="AN28" s="741">
        <v>12</v>
      </c>
      <c r="AO28" s="741"/>
      <c r="AP28" s="741"/>
      <c r="AQ28" s="741">
        <v>7</v>
      </c>
      <c r="AR28" s="741"/>
      <c r="AS28" s="741"/>
      <c r="AT28" s="741">
        <v>8</v>
      </c>
      <c r="AU28" s="741"/>
      <c r="AV28" s="741"/>
      <c r="AW28" s="741">
        <v>9</v>
      </c>
      <c r="AX28" s="741"/>
      <c r="AY28" s="741"/>
      <c r="AZ28" s="741">
        <v>17</v>
      </c>
      <c r="BA28" s="741"/>
      <c r="BB28" s="741"/>
      <c r="BC28" s="741">
        <v>10</v>
      </c>
      <c r="BD28" s="741"/>
      <c r="BE28" s="741"/>
      <c r="BF28" s="741">
        <v>11</v>
      </c>
      <c r="BG28" s="741"/>
      <c r="BH28" s="741"/>
      <c r="BI28" s="741"/>
      <c r="BJ28" s="741"/>
      <c r="BK28" s="743"/>
      <c r="BL28" s="745">
        <v>18</v>
      </c>
      <c r="BM28" s="741"/>
      <c r="BN28" s="741"/>
      <c r="BO28" s="741">
        <v>19</v>
      </c>
      <c r="BP28" s="741"/>
      <c r="BQ28" s="741"/>
      <c r="BR28" s="741">
        <v>12</v>
      </c>
      <c r="BS28" s="741"/>
      <c r="BT28" s="741"/>
      <c r="BU28" s="741">
        <v>13</v>
      </c>
      <c r="BV28" s="741"/>
      <c r="BW28" s="741"/>
      <c r="BX28" s="741">
        <v>14</v>
      </c>
      <c r="BY28" s="741"/>
      <c r="BZ28" s="741"/>
      <c r="CA28" s="741">
        <v>15</v>
      </c>
      <c r="CB28" s="741"/>
      <c r="CC28" s="741"/>
      <c r="CD28" s="741">
        <v>16</v>
      </c>
      <c r="CE28" s="741"/>
      <c r="CF28" s="741"/>
      <c r="CG28" s="746">
        <v>17</v>
      </c>
      <c r="CH28" s="746"/>
      <c r="CI28" s="746"/>
      <c r="CJ28" s="741">
        <v>18</v>
      </c>
      <c r="CK28" s="741"/>
      <c r="CL28" s="741"/>
      <c r="CM28" s="741">
        <v>30</v>
      </c>
      <c r="CN28" s="741"/>
      <c r="CO28" s="741"/>
      <c r="CP28" s="746">
        <v>19</v>
      </c>
      <c r="CQ28" s="746"/>
      <c r="CR28" s="751"/>
      <c r="CS28" s="745">
        <v>29</v>
      </c>
      <c r="CT28" s="741"/>
      <c r="CU28" s="741"/>
      <c r="CV28" s="741">
        <v>30</v>
      </c>
      <c r="CW28" s="741"/>
      <c r="CX28" s="741"/>
      <c r="CY28" s="741">
        <v>20</v>
      </c>
      <c r="CZ28" s="741"/>
      <c r="DA28" s="741"/>
      <c r="DB28" s="741">
        <v>21</v>
      </c>
      <c r="DC28" s="741"/>
      <c r="DD28" s="741"/>
      <c r="DE28" s="741">
        <v>22</v>
      </c>
      <c r="DF28" s="741"/>
      <c r="DG28" s="741"/>
      <c r="DH28" s="741">
        <v>23</v>
      </c>
      <c r="DI28" s="741"/>
      <c r="DJ28" s="741"/>
      <c r="DK28" s="741">
        <v>24</v>
      </c>
      <c r="DL28" s="741"/>
      <c r="DM28" s="741"/>
      <c r="DN28" s="746">
        <v>25</v>
      </c>
      <c r="DO28" s="746"/>
      <c r="DP28" s="746"/>
      <c r="DQ28" s="741">
        <v>26</v>
      </c>
      <c r="DR28" s="741"/>
      <c r="DS28" s="741"/>
      <c r="DT28" s="741">
        <v>42</v>
      </c>
      <c r="DU28" s="741"/>
      <c r="DV28" s="741"/>
      <c r="DW28" s="746">
        <v>27</v>
      </c>
      <c r="DX28" s="746"/>
      <c r="DY28" s="751"/>
    </row>
    <row r="29" spans="1:129" s="418" customFormat="1" ht="10.5">
      <c r="A29" s="713">
        <v>1</v>
      </c>
      <c r="B29" s="714"/>
      <c r="C29" s="715" t="str">
        <f>'приложение 1.1 2016-2017 ген'!B28</f>
        <v>Установка молниеотвода склада ГСМ ДЭС-5</v>
      </c>
      <c r="D29" s="716"/>
      <c r="E29" s="716"/>
      <c r="F29" s="716"/>
      <c r="G29" s="716"/>
      <c r="H29" s="716"/>
      <c r="I29" s="71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710"/>
      <c r="AF29" s="710"/>
      <c r="AG29" s="710"/>
      <c r="AH29" s="707"/>
      <c r="AI29" s="707"/>
      <c r="AJ29" s="707"/>
      <c r="AK29" s="707"/>
      <c r="AL29" s="707"/>
      <c r="AM29" s="707"/>
      <c r="AN29" s="707"/>
      <c r="AO29" s="707"/>
      <c r="AP29" s="707"/>
      <c r="AQ29" s="707"/>
      <c r="AR29" s="707"/>
      <c r="AS29" s="707"/>
      <c r="AT29" s="707"/>
      <c r="AU29" s="707"/>
      <c r="AV29" s="707"/>
      <c r="AW29" s="707"/>
      <c r="AX29" s="707"/>
      <c r="AY29" s="707"/>
      <c r="AZ29" s="707"/>
      <c r="BA29" s="707"/>
      <c r="BB29" s="707"/>
      <c r="BC29" s="710"/>
      <c r="BD29" s="710"/>
      <c r="BE29" s="710"/>
      <c r="BF29" s="698">
        <v>1</v>
      </c>
      <c r="BG29" s="698"/>
      <c r="BH29" s="698"/>
      <c r="BI29" s="698"/>
      <c r="BJ29" s="698"/>
      <c r="BK29" s="747"/>
      <c r="BL29" s="708"/>
      <c r="BM29" s="709"/>
      <c r="BN29" s="709"/>
      <c r="BO29" s="709"/>
      <c r="BP29" s="709"/>
      <c r="BQ29" s="709"/>
      <c r="BR29" s="709"/>
      <c r="BS29" s="709"/>
      <c r="BT29" s="709"/>
      <c r="BU29" s="709"/>
      <c r="BV29" s="709"/>
      <c r="BW29" s="709"/>
      <c r="BX29" s="709"/>
      <c r="BY29" s="709"/>
      <c r="BZ29" s="709"/>
      <c r="CA29" s="709"/>
      <c r="CB29" s="709"/>
      <c r="CC29" s="709"/>
      <c r="CD29" s="709"/>
      <c r="CE29" s="709"/>
      <c r="CF29" s="709"/>
      <c r="CG29" s="718"/>
      <c r="CH29" s="718"/>
      <c r="CI29" s="718"/>
      <c r="CJ29" s="709"/>
      <c r="CK29" s="709"/>
      <c r="CL29" s="709"/>
      <c r="CM29" s="709"/>
      <c r="CN29" s="709"/>
      <c r="CO29" s="709"/>
      <c r="CP29" s="718">
        <f>BR29</f>
        <v>0</v>
      </c>
      <c r="CQ29" s="718"/>
      <c r="CR29" s="719"/>
      <c r="CS29" s="706"/>
      <c r="CT29" s="698"/>
      <c r="CU29" s="698"/>
      <c r="CV29" s="698"/>
      <c r="CW29" s="698"/>
      <c r="CX29" s="698"/>
      <c r="CY29" s="698">
        <f>BF29</f>
        <v>1</v>
      </c>
      <c r="CZ29" s="698"/>
      <c r="DA29" s="698"/>
      <c r="DB29" s="698"/>
      <c r="DC29" s="698"/>
      <c r="DD29" s="698"/>
      <c r="DE29" s="698"/>
      <c r="DF29" s="698"/>
      <c r="DG29" s="698"/>
      <c r="DH29" s="698"/>
      <c r="DI29" s="698"/>
      <c r="DJ29" s="698"/>
      <c r="DK29" s="698"/>
      <c r="DL29" s="698"/>
      <c r="DM29" s="698"/>
      <c r="DN29" s="702"/>
      <c r="DO29" s="702"/>
      <c r="DP29" s="702"/>
      <c r="DQ29" s="698"/>
      <c r="DR29" s="698"/>
      <c r="DS29" s="698"/>
      <c r="DT29" s="698"/>
      <c r="DU29" s="698"/>
      <c r="DV29" s="698"/>
      <c r="DW29" s="702">
        <f>CY29+DN29+DQ29</f>
        <v>1</v>
      </c>
      <c r="DX29" s="702"/>
      <c r="DY29" s="759"/>
    </row>
    <row r="30" spans="1:130" s="418" customFormat="1" ht="22.5" customHeight="1">
      <c r="A30" s="713">
        <f>A29+1</f>
        <v>2</v>
      </c>
      <c r="B30" s="714"/>
      <c r="C30" s="715" t="str">
        <f>'приложение 1.1 2016-2017 тр'!B23</f>
        <v>Замена электрооборудования трансформаторной подстанции</v>
      </c>
      <c r="D30" s="716"/>
      <c r="E30" s="716"/>
      <c r="F30" s="716"/>
      <c r="G30" s="716"/>
      <c r="H30" s="716"/>
      <c r="I30" s="717"/>
      <c r="J30" s="707"/>
      <c r="K30" s="707"/>
      <c r="L30" s="707"/>
      <c r="M30" s="707"/>
      <c r="N30" s="707"/>
      <c r="O30" s="707"/>
      <c r="P30" s="707"/>
      <c r="Q30" s="707"/>
      <c r="R30" s="707"/>
      <c r="S30" s="707" t="s">
        <v>475</v>
      </c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7"/>
      <c r="AE30" s="710" t="str">
        <f>S30</f>
        <v>1.4 МВА</v>
      </c>
      <c r="AF30" s="710"/>
      <c r="AG30" s="710"/>
      <c r="AH30" s="707"/>
      <c r="AI30" s="707"/>
      <c r="AJ30" s="707"/>
      <c r="AK30" s="707"/>
      <c r="AL30" s="707"/>
      <c r="AM30" s="707"/>
      <c r="AN30" s="707"/>
      <c r="AO30" s="707"/>
      <c r="AP30" s="707"/>
      <c r="AQ30" s="707" t="str">
        <f>S30</f>
        <v>1.4 МВА</v>
      </c>
      <c r="AR30" s="707"/>
      <c r="AS30" s="707"/>
      <c r="AT30" s="707"/>
      <c r="AU30" s="707"/>
      <c r="AV30" s="707"/>
      <c r="AW30" s="707"/>
      <c r="AX30" s="707"/>
      <c r="AY30" s="707"/>
      <c r="AZ30" s="707"/>
      <c r="BA30" s="707"/>
      <c r="BB30" s="707"/>
      <c r="BC30" s="710" t="str">
        <f>AQ30</f>
        <v>1.4 МВА</v>
      </c>
      <c r="BD30" s="710"/>
      <c r="BE30" s="710"/>
      <c r="BF30" s="698">
        <f>(0.67+3.936921)/1.18+3.328+0.02</f>
        <v>7.252170338983051</v>
      </c>
      <c r="BG30" s="698"/>
      <c r="BH30" s="698"/>
      <c r="BI30" s="698"/>
      <c r="BJ30" s="698"/>
      <c r="BK30" s="747"/>
      <c r="BL30" s="708"/>
      <c r="BM30" s="709"/>
      <c r="BN30" s="709"/>
      <c r="BO30" s="709"/>
      <c r="BP30" s="709"/>
      <c r="BQ30" s="709"/>
      <c r="BR30" s="709" t="str">
        <f>AE30</f>
        <v>1.4 МВА</v>
      </c>
      <c r="BS30" s="709"/>
      <c r="BT30" s="709"/>
      <c r="BU30" s="709"/>
      <c r="BV30" s="709"/>
      <c r="BW30" s="709"/>
      <c r="BX30" s="709"/>
      <c r="BY30" s="709"/>
      <c r="BZ30" s="709"/>
      <c r="CA30" s="709"/>
      <c r="CB30" s="709"/>
      <c r="CC30" s="709"/>
      <c r="CD30" s="709"/>
      <c r="CE30" s="709"/>
      <c r="CF30" s="709"/>
      <c r="CG30" s="718"/>
      <c r="CH30" s="718"/>
      <c r="CI30" s="718"/>
      <c r="CJ30" s="709"/>
      <c r="CK30" s="709"/>
      <c r="CL30" s="709"/>
      <c r="CM30" s="709"/>
      <c r="CN30" s="709"/>
      <c r="CO30" s="709"/>
      <c r="CP30" s="718" t="str">
        <f>BR30</f>
        <v>1.4 МВА</v>
      </c>
      <c r="CQ30" s="718"/>
      <c r="CR30" s="719"/>
      <c r="CS30" s="706"/>
      <c r="CT30" s="698"/>
      <c r="CU30" s="698"/>
      <c r="CV30" s="698"/>
      <c r="CW30" s="698"/>
      <c r="CX30" s="698"/>
      <c r="CY30" s="698">
        <f>BF30</f>
        <v>7.252170338983051</v>
      </c>
      <c r="CZ30" s="698"/>
      <c r="DA30" s="698"/>
      <c r="DB30" s="698"/>
      <c r="DC30" s="698"/>
      <c r="DD30" s="698"/>
      <c r="DE30" s="698"/>
      <c r="DF30" s="698"/>
      <c r="DG30" s="698"/>
      <c r="DH30" s="698"/>
      <c r="DI30" s="698"/>
      <c r="DJ30" s="698"/>
      <c r="DK30" s="698"/>
      <c r="DL30" s="698"/>
      <c r="DM30" s="698"/>
      <c r="DN30" s="702"/>
      <c r="DO30" s="702"/>
      <c r="DP30" s="702"/>
      <c r="DQ30" s="698"/>
      <c r="DR30" s="698"/>
      <c r="DS30" s="698"/>
      <c r="DT30" s="698"/>
      <c r="DU30" s="698"/>
      <c r="DV30" s="698"/>
      <c r="DW30" s="702">
        <f>CY30+DN30+DQ30</f>
        <v>7.252170338983051</v>
      </c>
      <c r="DX30" s="702"/>
      <c r="DY30" s="759"/>
      <c r="DZ30" s="422"/>
    </row>
    <row r="31" spans="1:130" s="418" customFormat="1" ht="10.5">
      <c r="A31" s="713">
        <f aca="true" t="shared" si="0" ref="A31:A42">A30+1</f>
        <v>3</v>
      </c>
      <c r="B31" s="714"/>
      <c r="C31" s="715" t="str">
        <f>'приложение 1.1 2016-2017 тр'!B24</f>
        <v>Замена электрооборудования трансформаторной подстанции</v>
      </c>
      <c r="D31" s="716"/>
      <c r="E31" s="716"/>
      <c r="F31" s="716"/>
      <c r="G31" s="716"/>
      <c r="H31" s="716"/>
      <c r="I31" s="71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10"/>
      <c r="AF31" s="710"/>
      <c r="AG31" s="710"/>
      <c r="AH31" s="707"/>
      <c r="AI31" s="707"/>
      <c r="AJ31" s="707"/>
      <c r="AK31" s="707"/>
      <c r="AL31" s="707"/>
      <c r="AM31" s="707"/>
      <c r="AN31" s="707"/>
      <c r="AO31" s="707"/>
      <c r="AP31" s="707"/>
      <c r="AQ31" s="707"/>
      <c r="AR31" s="707"/>
      <c r="AS31" s="707"/>
      <c r="AT31" s="707"/>
      <c r="AU31" s="707"/>
      <c r="AV31" s="707"/>
      <c r="AW31" s="707"/>
      <c r="AX31" s="707"/>
      <c r="AY31" s="707"/>
      <c r="AZ31" s="707"/>
      <c r="BA31" s="707"/>
      <c r="BB31" s="707"/>
      <c r="BC31" s="710"/>
      <c r="BD31" s="710"/>
      <c r="BE31" s="710"/>
      <c r="BF31" s="711">
        <f>3.60999996/1.18+0.19+0.8</f>
        <v>4.049322</v>
      </c>
      <c r="BG31" s="711"/>
      <c r="BH31" s="711"/>
      <c r="BI31" s="711"/>
      <c r="BJ31" s="711"/>
      <c r="BK31" s="712"/>
      <c r="BL31" s="708"/>
      <c r="BM31" s="709"/>
      <c r="BN31" s="709"/>
      <c r="BO31" s="709"/>
      <c r="BP31" s="709"/>
      <c r="BQ31" s="709"/>
      <c r="BR31" s="709"/>
      <c r="BS31" s="709"/>
      <c r="BT31" s="709"/>
      <c r="BU31" s="709"/>
      <c r="BV31" s="709"/>
      <c r="BW31" s="709"/>
      <c r="BX31" s="709"/>
      <c r="BY31" s="709"/>
      <c r="BZ31" s="709"/>
      <c r="CA31" s="709"/>
      <c r="CB31" s="709"/>
      <c r="CC31" s="709"/>
      <c r="CD31" s="709"/>
      <c r="CE31" s="709"/>
      <c r="CF31" s="709"/>
      <c r="CG31" s="718"/>
      <c r="CH31" s="718"/>
      <c r="CI31" s="718"/>
      <c r="CJ31" s="709"/>
      <c r="CK31" s="709"/>
      <c r="CL31" s="709"/>
      <c r="CM31" s="709"/>
      <c r="CN31" s="709"/>
      <c r="CO31" s="709"/>
      <c r="CP31" s="718"/>
      <c r="CQ31" s="718"/>
      <c r="CR31" s="719"/>
      <c r="CS31" s="706"/>
      <c r="CT31" s="698"/>
      <c r="CU31" s="698"/>
      <c r="CV31" s="698"/>
      <c r="CW31" s="698"/>
      <c r="CX31" s="698"/>
      <c r="CY31" s="698">
        <f>0.19+0.8</f>
        <v>0.99</v>
      </c>
      <c r="CZ31" s="698"/>
      <c r="DA31" s="698"/>
      <c r="DB31" s="698"/>
      <c r="DC31" s="698"/>
      <c r="DD31" s="698"/>
      <c r="DE31" s="698"/>
      <c r="DF31" s="698"/>
      <c r="DG31" s="698"/>
      <c r="DH31" s="698"/>
      <c r="DI31" s="698"/>
      <c r="DJ31" s="698"/>
      <c r="DK31" s="698"/>
      <c r="DL31" s="698"/>
      <c r="DM31" s="698"/>
      <c r="DN31" s="702"/>
      <c r="DO31" s="702"/>
      <c r="DP31" s="702"/>
      <c r="DQ31" s="698"/>
      <c r="DR31" s="698"/>
      <c r="DS31" s="698"/>
      <c r="DT31" s="698"/>
      <c r="DU31" s="698"/>
      <c r="DV31" s="698"/>
      <c r="DW31" s="699">
        <f aca="true" t="shared" si="1" ref="DW31:DW42">CY31+DN31+DQ31</f>
        <v>0.99</v>
      </c>
      <c r="DX31" s="700"/>
      <c r="DY31" s="701"/>
      <c r="DZ31" s="422"/>
    </row>
    <row r="32" spans="1:130" s="418" customFormat="1" ht="23.25" customHeight="1">
      <c r="A32" s="713">
        <f t="shared" si="0"/>
        <v>4</v>
      </c>
      <c r="B32" s="714"/>
      <c r="C32" s="715" t="str">
        <f>'приложение 1.1 2016-2017 тр'!B25</f>
        <v>Замена электрооборудования трансформаторной подстанции</v>
      </c>
      <c r="D32" s="716"/>
      <c r="E32" s="716"/>
      <c r="F32" s="716"/>
      <c r="G32" s="716"/>
      <c r="H32" s="716"/>
      <c r="I32" s="717"/>
      <c r="J32" s="707"/>
      <c r="K32" s="707"/>
      <c r="L32" s="707"/>
      <c r="M32" s="707"/>
      <c r="N32" s="707"/>
      <c r="O32" s="707"/>
      <c r="P32" s="748"/>
      <c r="Q32" s="749"/>
      <c r="R32" s="750"/>
      <c r="S32" s="707"/>
      <c r="T32" s="707"/>
      <c r="U32" s="707"/>
      <c r="V32" s="707" t="s">
        <v>488</v>
      </c>
      <c r="W32" s="707"/>
      <c r="X32" s="707"/>
      <c r="Y32" s="707"/>
      <c r="Z32" s="707"/>
      <c r="AA32" s="707"/>
      <c r="AB32" s="707"/>
      <c r="AC32" s="707"/>
      <c r="AD32" s="707"/>
      <c r="AE32" s="710" t="str">
        <f>V32</f>
        <v>0.4 МВА</v>
      </c>
      <c r="AF32" s="710"/>
      <c r="AG32" s="710"/>
      <c r="AH32" s="707"/>
      <c r="AI32" s="707"/>
      <c r="AJ32" s="707"/>
      <c r="AK32" s="707"/>
      <c r="AL32" s="707"/>
      <c r="AM32" s="707"/>
      <c r="AN32" s="707"/>
      <c r="AO32" s="707"/>
      <c r="AP32" s="707"/>
      <c r="AQ32" s="707"/>
      <c r="AR32" s="707"/>
      <c r="AS32" s="707"/>
      <c r="AT32" s="707" t="str">
        <f>V32</f>
        <v>0.4 МВА</v>
      </c>
      <c r="AU32" s="707"/>
      <c r="AV32" s="707"/>
      <c r="AW32" s="707"/>
      <c r="AX32" s="707"/>
      <c r="AY32" s="707"/>
      <c r="AZ32" s="707"/>
      <c r="BA32" s="707"/>
      <c r="BB32" s="707"/>
      <c r="BC32" s="710" t="str">
        <f>AT32</f>
        <v>0.4 МВА</v>
      </c>
      <c r="BD32" s="710"/>
      <c r="BE32" s="710"/>
      <c r="BF32" s="711">
        <f>3.82138162/1.18+3.458</f>
        <v>6.696459000000001</v>
      </c>
      <c r="BG32" s="711"/>
      <c r="BH32" s="711"/>
      <c r="BI32" s="711"/>
      <c r="BJ32" s="711"/>
      <c r="BK32" s="712"/>
      <c r="BL32" s="708"/>
      <c r="BM32" s="709"/>
      <c r="BN32" s="709"/>
      <c r="BO32" s="709"/>
      <c r="BP32" s="709"/>
      <c r="BQ32" s="709"/>
      <c r="BR32" s="709"/>
      <c r="BS32" s="709"/>
      <c r="BT32" s="709"/>
      <c r="BU32" s="709"/>
      <c r="BV32" s="709"/>
      <c r="BW32" s="709"/>
      <c r="BX32" s="709"/>
      <c r="BY32" s="709"/>
      <c r="BZ32" s="709"/>
      <c r="CA32" s="709"/>
      <c r="CB32" s="709"/>
      <c r="CC32" s="709"/>
      <c r="CD32" s="709" t="str">
        <f>AE32</f>
        <v>0.4 МВА</v>
      </c>
      <c r="CE32" s="709"/>
      <c r="CF32" s="709"/>
      <c r="CG32" s="718"/>
      <c r="CH32" s="718"/>
      <c r="CI32" s="718"/>
      <c r="CJ32" s="709"/>
      <c r="CK32" s="709"/>
      <c r="CL32" s="709"/>
      <c r="CM32" s="709"/>
      <c r="CN32" s="709"/>
      <c r="CO32" s="709"/>
      <c r="CP32" s="718" t="str">
        <f>CD32</f>
        <v>0.4 МВА</v>
      </c>
      <c r="CQ32" s="718"/>
      <c r="CR32" s="719"/>
      <c r="CS32" s="706"/>
      <c r="CT32" s="698"/>
      <c r="CU32" s="698"/>
      <c r="CV32" s="698"/>
      <c r="CW32" s="698"/>
      <c r="CX32" s="698"/>
      <c r="CY32" s="698"/>
      <c r="CZ32" s="698"/>
      <c r="DA32" s="698"/>
      <c r="DB32" s="698"/>
      <c r="DC32" s="698"/>
      <c r="DD32" s="698"/>
      <c r="DE32" s="698"/>
      <c r="DF32" s="698"/>
      <c r="DG32" s="698"/>
      <c r="DH32" s="698"/>
      <c r="DI32" s="698"/>
      <c r="DJ32" s="698"/>
      <c r="DK32" s="698">
        <f>BF32</f>
        <v>6.696459000000001</v>
      </c>
      <c r="DL32" s="698"/>
      <c r="DM32" s="698"/>
      <c r="DN32" s="702">
        <f>DK32</f>
        <v>6.696459000000001</v>
      </c>
      <c r="DO32" s="702"/>
      <c r="DP32" s="702"/>
      <c r="DQ32" s="698"/>
      <c r="DR32" s="698"/>
      <c r="DS32" s="698"/>
      <c r="DT32" s="698"/>
      <c r="DU32" s="698"/>
      <c r="DV32" s="698"/>
      <c r="DW32" s="699">
        <f t="shared" si="1"/>
        <v>6.696459000000001</v>
      </c>
      <c r="DX32" s="700"/>
      <c r="DY32" s="701"/>
      <c r="DZ32" s="422"/>
    </row>
    <row r="33" spans="1:130" s="418" customFormat="1" ht="10.5">
      <c r="A33" s="713">
        <f t="shared" si="0"/>
        <v>5</v>
      </c>
      <c r="B33" s="714"/>
      <c r="C33" s="715" t="str">
        <f>'приложение 1.1 2016-2017 тр'!B26</f>
        <v>Замена электрооборудования трансформаторной подстанции</v>
      </c>
      <c r="D33" s="716"/>
      <c r="E33" s="716"/>
      <c r="F33" s="716"/>
      <c r="G33" s="716"/>
      <c r="H33" s="716"/>
      <c r="I33" s="717"/>
      <c r="J33" s="707"/>
      <c r="K33" s="707"/>
      <c r="L33" s="707"/>
      <c r="M33" s="707"/>
      <c r="N33" s="707"/>
      <c r="O33" s="707"/>
      <c r="P33" s="707"/>
      <c r="Q33" s="707"/>
      <c r="R33" s="707"/>
      <c r="S33" s="707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7"/>
      <c r="AE33" s="710"/>
      <c r="AF33" s="710"/>
      <c r="AG33" s="710"/>
      <c r="AH33" s="707"/>
      <c r="AI33" s="707"/>
      <c r="AJ33" s="707"/>
      <c r="AK33" s="707"/>
      <c r="AL33" s="707"/>
      <c r="AM33" s="707"/>
      <c r="AN33" s="707"/>
      <c r="AO33" s="707"/>
      <c r="AP33" s="707"/>
      <c r="AQ33" s="707"/>
      <c r="AR33" s="707"/>
      <c r="AS33" s="707"/>
      <c r="AT33" s="707"/>
      <c r="AU33" s="707"/>
      <c r="AV33" s="707"/>
      <c r="AW33" s="707"/>
      <c r="AX33" s="707"/>
      <c r="AY33" s="707"/>
      <c r="AZ33" s="707"/>
      <c r="BA33" s="707"/>
      <c r="BB33" s="707"/>
      <c r="BC33" s="710"/>
      <c r="BD33" s="710"/>
      <c r="BE33" s="710"/>
      <c r="BF33" s="763"/>
      <c r="BG33" s="763"/>
      <c r="BH33" s="763"/>
      <c r="BI33" s="763"/>
      <c r="BJ33" s="763"/>
      <c r="BK33" s="764"/>
      <c r="BL33" s="708"/>
      <c r="BM33" s="709"/>
      <c r="BN33" s="709"/>
      <c r="BO33" s="709"/>
      <c r="BP33" s="709"/>
      <c r="BQ33" s="709"/>
      <c r="BR33" s="709"/>
      <c r="BS33" s="709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18"/>
      <c r="CH33" s="718"/>
      <c r="CI33" s="718"/>
      <c r="CJ33" s="709"/>
      <c r="CK33" s="709"/>
      <c r="CL33" s="709"/>
      <c r="CM33" s="709"/>
      <c r="CN33" s="709"/>
      <c r="CO33" s="709"/>
      <c r="CP33" s="718"/>
      <c r="CQ33" s="718"/>
      <c r="CR33" s="719"/>
      <c r="CS33" s="706"/>
      <c r="CT33" s="698"/>
      <c r="CU33" s="698"/>
      <c r="CV33" s="698"/>
      <c r="CW33" s="698"/>
      <c r="CX33" s="698"/>
      <c r="CY33" s="698"/>
      <c r="CZ33" s="698"/>
      <c r="DA33" s="698"/>
      <c r="DB33" s="698"/>
      <c r="DC33" s="698"/>
      <c r="DD33" s="698"/>
      <c r="DE33" s="698"/>
      <c r="DF33" s="698"/>
      <c r="DG33" s="698"/>
      <c r="DH33" s="698"/>
      <c r="DI33" s="698"/>
      <c r="DJ33" s="698"/>
      <c r="DK33" s="698"/>
      <c r="DL33" s="698"/>
      <c r="DM33" s="698"/>
      <c r="DN33" s="702"/>
      <c r="DO33" s="702"/>
      <c r="DP33" s="702"/>
      <c r="DQ33" s="698"/>
      <c r="DR33" s="698"/>
      <c r="DS33" s="698"/>
      <c r="DT33" s="698"/>
      <c r="DU33" s="698"/>
      <c r="DV33" s="698"/>
      <c r="DW33" s="699">
        <f t="shared" si="1"/>
        <v>0</v>
      </c>
      <c r="DX33" s="700"/>
      <c r="DY33" s="701"/>
      <c r="DZ33" s="422"/>
    </row>
    <row r="34" spans="1:130" s="418" customFormat="1" ht="29.25" customHeight="1">
      <c r="A34" s="713">
        <f t="shared" si="0"/>
        <v>6</v>
      </c>
      <c r="B34" s="714"/>
      <c r="C34" s="715" t="str">
        <f>'приложение 1.1 2016-2017 тр'!B27</f>
        <v>Замена электрооборудования трансформаторной подстанции</v>
      </c>
      <c r="D34" s="716"/>
      <c r="E34" s="716"/>
      <c r="F34" s="716"/>
      <c r="G34" s="716"/>
      <c r="H34" s="716"/>
      <c r="I34" s="717"/>
      <c r="J34" s="707"/>
      <c r="K34" s="707"/>
      <c r="L34" s="707"/>
      <c r="M34" s="707"/>
      <c r="N34" s="707"/>
      <c r="O34" s="707"/>
      <c r="P34" s="707"/>
      <c r="Q34" s="707"/>
      <c r="R34" s="707"/>
      <c r="S34" s="748" t="s">
        <v>477</v>
      </c>
      <c r="T34" s="749"/>
      <c r="U34" s="749"/>
      <c r="V34" s="748" t="s">
        <v>477</v>
      </c>
      <c r="W34" s="749"/>
      <c r="X34" s="749"/>
      <c r="Y34" s="707"/>
      <c r="Z34" s="707"/>
      <c r="AA34" s="707"/>
      <c r="AB34" s="707"/>
      <c r="AC34" s="707"/>
      <c r="AD34" s="707"/>
      <c r="AE34" s="710" t="str">
        <f>S34</f>
        <v>0.63 МВА</v>
      </c>
      <c r="AF34" s="710"/>
      <c r="AG34" s="710"/>
      <c r="AH34" s="707"/>
      <c r="AI34" s="707"/>
      <c r="AJ34" s="707"/>
      <c r="AK34" s="707"/>
      <c r="AL34" s="707"/>
      <c r="AM34" s="707"/>
      <c r="AN34" s="707"/>
      <c r="AO34" s="707"/>
      <c r="AP34" s="707"/>
      <c r="AQ34" s="748" t="str">
        <f>S34</f>
        <v>0.63 МВА</v>
      </c>
      <c r="AR34" s="749"/>
      <c r="AS34" s="749"/>
      <c r="AT34" s="748" t="str">
        <f>V34</f>
        <v>0.63 МВА</v>
      </c>
      <c r="AU34" s="749"/>
      <c r="AV34" s="749"/>
      <c r="AW34" s="707"/>
      <c r="AX34" s="707"/>
      <c r="AY34" s="707"/>
      <c r="AZ34" s="707"/>
      <c r="BA34" s="707"/>
      <c r="BB34" s="707"/>
      <c r="BC34" s="710" t="str">
        <f>AQ34</f>
        <v>0.63 МВА</v>
      </c>
      <c r="BD34" s="710"/>
      <c r="BE34" s="710"/>
      <c r="BF34" s="711">
        <f>(0.45905792+0.451+0.451+4.22138162)/1.18+3.458</f>
        <v>8.188880966101696</v>
      </c>
      <c r="BG34" s="711"/>
      <c r="BH34" s="711"/>
      <c r="BI34" s="711"/>
      <c r="BJ34" s="711"/>
      <c r="BK34" s="712"/>
      <c r="BL34" s="708"/>
      <c r="BM34" s="709"/>
      <c r="BN34" s="709"/>
      <c r="BO34" s="709"/>
      <c r="BP34" s="709"/>
      <c r="BQ34" s="709"/>
      <c r="BR34" s="709" t="str">
        <f>S34</f>
        <v>0.63 МВА</v>
      </c>
      <c r="BS34" s="709"/>
      <c r="BT34" s="709"/>
      <c r="BU34" s="709"/>
      <c r="BV34" s="709"/>
      <c r="BW34" s="709"/>
      <c r="BX34" s="709"/>
      <c r="BY34" s="709"/>
      <c r="BZ34" s="709"/>
      <c r="CA34" s="709"/>
      <c r="CB34" s="709"/>
      <c r="CC34" s="709"/>
      <c r="CD34" s="709" t="str">
        <f>AE34</f>
        <v>0.63 МВА</v>
      </c>
      <c r="CE34" s="709"/>
      <c r="CF34" s="709"/>
      <c r="CG34" s="718"/>
      <c r="CH34" s="718"/>
      <c r="CI34" s="718"/>
      <c r="CJ34" s="709"/>
      <c r="CK34" s="709"/>
      <c r="CL34" s="709"/>
      <c r="CM34" s="709"/>
      <c r="CN34" s="709"/>
      <c r="CO34" s="709"/>
      <c r="CP34" s="718" t="str">
        <f>CD34</f>
        <v>0.63 МВА</v>
      </c>
      <c r="CQ34" s="718"/>
      <c r="CR34" s="719"/>
      <c r="CS34" s="706"/>
      <c r="CT34" s="698"/>
      <c r="CU34" s="698"/>
      <c r="CV34" s="698"/>
      <c r="CW34" s="698"/>
      <c r="CX34" s="698"/>
      <c r="CY34" s="698">
        <f>(0.45905792+0.451)/1.18</f>
        <v>0.771235525423729</v>
      </c>
      <c r="CZ34" s="698"/>
      <c r="DA34" s="698"/>
      <c r="DB34" s="698"/>
      <c r="DC34" s="698"/>
      <c r="DD34" s="698"/>
      <c r="DE34" s="698"/>
      <c r="DF34" s="698"/>
      <c r="DG34" s="698"/>
      <c r="DH34" s="698"/>
      <c r="DI34" s="698"/>
      <c r="DJ34" s="698"/>
      <c r="DK34" s="698">
        <f>(0.451+4.22138162)/1.18+3.458</f>
        <v>7.4176454406779655</v>
      </c>
      <c r="DL34" s="698"/>
      <c r="DM34" s="698"/>
      <c r="DN34" s="702">
        <f>DK34</f>
        <v>7.4176454406779655</v>
      </c>
      <c r="DO34" s="702"/>
      <c r="DP34" s="702"/>
      <c r="DQ34" s="698"/>
      <c r="DR34" s="698"/>
      <c r="DS34" s="698"/>
      <c r="DT34" s="698"/>
      <c r="DU34" s="698"/>
      <c r="DV34" s="698"/>
      <c r="DW34" s="699">
        <f t="shared" si="1"/>
        <v>8.188880966101694</v>
      </c>
      <c r="DX34" s="700"/>
      <c r="DY34" s="701"/>
      <c r="DZ34" s="422"/>
    </row>
    <row r="35" spans="1:130" s="418" customFormat="1" ht="10.5">
      <c r="A35" s="713">
        <f t="shared" si="0"/>
        <v>7</v>
      </c>
      <c r="B35" s="714"/>
      <c r="C35" s="715" t="str">
        <f>'приложение 1.1 2016-2017 тр'!B28</f>
        <v>Строительство КТПН</v>
      </c>
      <c r="D35" s="716"/>
      <c r="E35" s="716"/>
      <c r="F35" s="716"/>
      <c r="G35" s="716"/>
      <c r="H35" s="716"/>
      <c r="I35" s="71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10"/>
      <c r="AF35" s="710"/>
      <c r="AG35" s="710"/>
      <c r="AH35" s="707"/>
      <c r="AI35" s="707"/>
      <c r="AJ35" s="707"/>
      <c r="AK35" s="707"/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707"/>
      <c r="BA35" s="707"/>
      <c r="BB35" s="707"/>
      <c r="BC35" s="710"/>
      <c r="BD35" s="710"/>
      <c r="BE35" s="710"/>
      <c r="BF35" s="711">
        <f>4.33499963/1.18+0.15+0.8+0.1</f>
        <v>4.7237285</v>
      </c>
      <c r="BG35" s="711"/>
      <c r="BH35" s="711"/>
      <c r="BI35" s="711"/>
      <c r="BJ35" s="711"/>
      <c r="BK35" s="712"/>
      <c r="BL35" s="708"/>
      <c r="BM35" s="709"/>
      <c r="BN35" s="709"/>
      <c r="BO35" s="709"/>
      <c r="BP35" s="709"/>
      <c r="BQ35" s="709"/>
      <c r="BR35" s="709"/>
      <c r="BS35" s="709"/>
      <c r="BT35" s="709"/>
      <c r="BU35" s="709"/>
      <c r="BV35" s="709"/>
      <c r="BW35" s="709"/>
      <c r="BX35" s="709"/>
      <c r="BY35" s="709"/>
      <c r="BZ35" s="709"/>
      <c r="CA35" s="709"/>
      <c r="CB35" s="709"/>
      <c r="CC35" s="709"/>
      <c r="CD35" s="709"/>
      <c r="CE35" s="709"/>
      <c r="CF35" s="709"/>
      <c r="CG35" s="718"/>
      <c r="CH35" s="718"/>
      <c r="CI35" s="718"/>
      <c r="CJ35" s="709"/>
      <c r="CK35" s="709"/>
      <c r="CL35" s="709"/>
      <c r="CM35" s="709"/>
      <c r="CN35" s="709"/>
      <c r="CO35" s="709"/>
      <c r="CP35" s="718"/>
      <c r="CQ35" s="718"/>
      <c r="CR35" s="719"/>
      <c r="CS35" s="706"/>
      <c r="CT35" s="698"/>
      <c r="CU35" s="698"/>
      <c r="CV35" s="698"/>
      <c r="CW35" s="698"/>
      <c r="CX35" s="698"/>
      <c r="CY35" s="698">
        <f>0.15+0.8+0.1</f>
        <v>1.05</v>
      </c>
      <c r="CZ35" s="698"/>
      <c r="DA35" s="698"/>
      <c r="DB35" s="698"/>
      <c r="DC35" s="698"/>
      <c r="DD35" s="698"/>
      <c r="DE35" s="698"/>
      <c r="DF35" s="698"/>
      <c r="DG35" s="698"/>
      <c r="DH35" s="698"/>
      <c r="DI35" s="698"/>
      <c r="DJ35" s="698"/>
      <c r="DK35" s="698"/>
      <c r="DL35" s="698"/>
      <c r="DM35" s="698"/>
      <c r="DN35" s="702"/>
      <c r="DO35" s="702"/>
      <c r="DP35" s="702"/>
      <c r="DQ35" s="698"/>
      <c r="DR35" s="698"/>
      <c r="DS35" s="698"/>
      <c r="DT35" s="698"/>
      <c r="DU35" s="698"/>
      <c r="DV35" s="698"/>
      <c r="DW35" s="699">
        <f t="shared" si="1"/>
        <v>1.05</v>
      </c>
      <c r="DX35" s="700"/>
      <c r="DY35" s="701"/>
      <c r="DZ35" s="422"/>
    </row>
    <row r="36" spans="1:130" s="418" customFormat="1" ht="24" customHeight="1">
      <c r="A36" s="713">
        <f t="shared" si="0"/>
        <v>8</v>
      </c>
      <c r="B36" s="714"/>
      <c r="C36" s="715" t="str">
        <f>'приложение 1.1 2016-2017 тр'!B29</f>
        <v>Реконструкция 1 секции ЗРУ-6 кВ, РУСН-0.4 кВ</v>
      </c>
      <c r="D36" s="716"/>
      <c r="E36" s="716"/>
      <c r="F36" s="716"/>
      <c r="G36" s="716"/>
      <c r="H36" s="716"/>
      <c r="I36" s="71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10"/>
      <c r="AF36" s="710"/>
      <c r="AG36" s="710"/>
      <c r="AH36" s="707"/>
      <c r="AI36" s="707"/>
      <c r="AJ36" s="707"/>
      <c r="AK36" s="707"/>
      <c r="AL36" s="707"/>
      <c r="AM36" s="707"/>
      <c r="AN36" s="707"/>
      <c r="AO36" s="707"/>
      <c r="AP36" s="707"/>
      <c r="AQ36" s="707"/>
      <c r="AR36" s="707"/>
      <c r="AS36" s="707"/>
      <c r="AT36" s="707"/>
      <c r="AU36" s="707"/>
      <c r="AV36" s="707"/>
      <c r="AW36" s="707"/>
      <c r="AX36" s="707"/>
      <c r="AY36" s="707"/>
      <c r="AZ36" s="707"/>
      <c r="BA36" s="707"/>
      <c r="BB36" s="707"/>
      <c r="BC36" s="710"/>
      <c r="BD36" s="710"/>
      <c r="BE36" s="710"/>
      <c r="BF36" s="711">
        <f>29.68092447/1.18+0.4+4.228</f>
        <v>29.7813258220339</v>
      </c>
      <c r="BG36" s="711"/>
      <c r="BH36" s="711"/>
      <c r="BI36" s="711"/>
      <c r="BJ36" s="711"/>
      <c r="BK36" s="712"/>
      <c r="BL36" s="708"/>
      <c r="BM36" s="709"/>
      <c r="BN36" s="709"/>
      <c r="BO36" s="709"/>
      <c r="BP36" s="709"/>
      <c r="BQ36" s="709"/>
      <c r="BR36" s="709"/>
      <c r="BS36" s="709"/>
      <c r="BT36" s="709"/>
      <c r="BU36" s="709"/>
      <c r="BV36" s="709"/>
      <c r="BW36" s="709"/>
      <c r="BX36" s="709"/>
      <c r="BY36" s="709"/>
      <c r="BZ36" s="709"/>
      <c r="CA36" s="709"/>
      <c r="CB36" s="709"/>
      <c r="CC36" s="709"/>
      <c r="CD36" s="709"/>
      <c r="CE36" s="709"/>
      <c r="CF36" s="709"/>
      <c r="CG36" s="718"/>
      <c r="CH36" s="718"/>
      <c r="CI36" s="718"/>
      <c r="CJ36" s="709"/>
      <c r="CK36" s="709"/>
      <c r="CL36" s="709"/>
      <c r="CM36" s="709"/>
      <c r="CN36" s="709"/>
      <c r="CO36" s="709"/>
      <c r="CP36" s="718"/>
      <c r="CQ36" s="718"/>
      <c r="CR36" s="719"/>
      <c r="CS36" s="706"/>
      <c r="CT36" s="698"/>
      <c r="CU36" s="698"/>
      <c r="CV36" s="698"/>
      <c r="CW36" s="698"/>
      <c r="CX36" s="698"/>
      <c r="CY36" s="698">
        <f>(0.2512678312+0.1131571+0.585+0.2805)/1.18+0.13+2.828+0.27+0.9+0.5</f>
        <v>5.670309263728814</v>
      </c>
      <c r="CZ36" s="698"/>
      <c r="DA36" s="698"/>
      <c r="DB36" s="698"/>
      <c r="DC36" s="698"/>
      <c r="DD36" s="698"/>
      <c r="DE36" s="698"/>
      <c r="DF36" s="698"/>
      <c r="DG36" s="698"/>
      <c r="DH36" s="698"/>
      <c r="DI36" s="698"/>
      <c r="DJ36" s="698"/>
      <c r="DK36" s="698"/>
      <c r="DL36" s="698"/>
      <c r="DM36" s="698"/>
      <c r="DN36" s="702"/>
      <c r="DO36" s="702"/>
      <c r="DP36" s="702"/>
      <c r="DQ36" s="698"/>
      <c r="DR36" s="698"/>
      <c r="DS36" s="698"/>
      <c r="DT36" s="698"/>
      <c r="DU36" s="698"/>
      <c r="DV36" s="698"/>
      <c r="DW36" s="699">
        <f t="shared" si="1"/>
        <v>5.670309263728814</v>
      </c>
      <c r="DX36" s="700"/>
      <c r="DY36" s="701"/>
      <c r="DZ36" s="422"/>
    </row>
    <row r="37" spans="1:130" s="418" customFormat="1" ht="12.75" customHeight="1">
      <c r="A37" s="713">
        <f t="shared" si="0"/>
        <v>9</v>
      </c>
      <c r="B37" s="714"/>
      <c r="C37" s="715" t="str">
        <f>'приложение 1.1 2016-2017 тр'!B30</f>
        <v>Реконструкция 2 секции ЗРУ-6 кВ</v>
      </c>
      <c r="D37" s="716"/>
      <c r="E37" s="716"/>
      <c r="F37" s="716"/>
      <c r="G37" s="716"/>
      <c r="H37" s="716"/>
      <c r="I37" s="717"/>
      <c r="J37" s="786"/>
      <c r="K37" s="786"/>
      <c r="L37" s="786"/>
      <c r="M37" s="786"/>
      <c r="N37" s="786"/>
      <c r="O37" s="786"/>
      <c r="P37" s="786"/>
      <c r="Q37" s="786"/>
      <c r="R37" s="786"/>
      <c r="S37" s="786"/>
      <c r="T37" s="786"/>
      <c r="U37" s="786"/>
      <c r="V37" s="786"/>
      <c r="W37" s="786"/>
      <c r="X37" s="786"/>
      <c r="Y37" s="786"/>
      <c r="Z37" s="786"/>
      <c r="AA37" s="786"/>
      <c r="AB37" s="786"/>
      <c r="AC37" s="786"/>
      <c r="AD37" s="786"/>
      <c r="AE37" s="785"/>
      <c r="AF37" s="785"/>
      <c r="AG37" s="785"/>
      <c r="AH37" s="786"/>
      <c r="AI37" s="786"/>
      <c r="AJ37" s="786"/>
      <c r="AK37" s="786"/>
      <c r="AL37" s="786"/>
      <c r="AM37" s="786"/>
      <c r="AN37" s="786"/>
      <c r="AO37" s="786"/>
      <c r="AP37" s="786"/>
      <c r="AQ37" s="786"/>
      <c r="AR37" s="786"/>
      <c r="AS37" s="786"/>
      <c r="AT37" s="786"/>
      <c r="AU37" s="786"/>
      <c r="AV37" s="786"/>
      <c r="AW37" s="786"/>
      <c r="AX37" s="786"/>
      <c r="AY37" s="786"/>
      <c r="AZ37" s="786"/>
      <c r="BA37" s="786"/>
      <c r="BB37" s="786"/>
      <c r="BC37" s="785"/>
      <c r="BD37" s="785"/>
      <c r="BE37" s="785"/>
      <c r="BF37" s="789">
        <f>(1.534037+10.59)/1.18+3.458</f>
        <v>13.732607627118645</v>
      </c>
      <c r="BG37" s="789"/>
      <c r="BH37" s="789"/>
      <c r="BI37" s="789"/>
      <c r="BJ37" s="789"/>
      <c r="BK37" s="790"/>
      <c r="BL37" s="787"/>
      <c r="BM37" s="788"/>
      <c r="BN37" s="788"/>
      <c r="BO37" s="788"/>
      <c r="BP37" s="788"/>
      <c r="BQ37" s="788"/>
      <c r="BR37" s="788"/>
      <c r="BS37" s="788"/>
      <c r="BT37" s="788"/>
      <c r="BU37" s="788"/>
      <c r="BV37" s="788"/>
      <c r="BW37" s="788"/>
      <c r="BX37" s="788"/>
      <c r="BY37" s="788"/>
      <c r="BZ37" s="788"/>
      <c r="CA37" s="788"/>
      <c r="CB37" s="788"/>
      <c r="CC37" s="788"/>
      <c r="CD37" s="788"/>
      <c r="CE37" s="788"/>
      <c r="CF37" s="788"/>
      <c r="CG37" s="792"/>
      <c r="CH37" s="792"/>
      <c r="CI37" s="792"/>
      <c r="CJ37" s="788"/>
      <c r="CK37" s="788"/>
      <c r="CL37" s="788"/>
      <c r="CM37" s="788"/>
      <c r="CN37" s="788"/>
      <c r="CO37" s="788"/>
      <c r="CP37" s="792"/>
      <c r="CQ37" s="792"/>
      <c r="CR37" s="794"/>
      <c r="CS37" s="795"/>
      <c r="CT37" s="791"/>
      <c r="CU37" s="791"/>
      <c r="CV37" s="791"/>
      <c r="CW37" s="791"/>
      <c r="CX37" s="791"/>
      <c r="CY37" s="791">
        <f>1.534037/1.18</f>
        <v>1.3000313559322036</v>
      </c>
      <c r="CZ37" s="791"/>
      <c r="DA37" s="791"/>
      <c r="DB37" s="791"/>
      <c r="DC37" s="791"/>
      <c r="DD37" s="791"/>
      <c r="DE37" s="791"/>
      <c r="DF37" s="791"/>
      <c r="DG37" s="791"/>
      <c r="DH37" s="791"/>
      <c r="DI37" s="791"/>
      <c r="DJ37" s="791"/>
      <c r="DK37" s="791">
        <f>10.59/1.18+3.458</f>
        <v>12.432576271186441</v>
      </c>
      <c r="DL37" s="791"/>
      <c r="DM37" s="791"/>
      <c r="DN37" s="793">
        <f>DK37</f>
        <v>12.432576271186441</v>
      </c>
      <c r="DO37" s="793"/>
      <c r="DP37" s="793"/>
      <c r="DQ37" s="791"/>
      <c r="DR37" s="791"/>
      <c r="DS37" s="791"/>
      <c r="DT37" s="791"/>
      <c r="DU37" s="791"/>
      <c r="DV37" s="791"/>
      <c r="DW37" s="699">
        <f t="shared" si="1"/>
        <v>13.732607627118645</v>
      </c>
      <c r="DX37" s="700"/>
      <c r="DY37" s="701"/>
      <c r="DZ37" s="422"/>
    </row>
    <row r="38" spans="1:130" s="418" customFormat="1" ht="10.5">
      <c r="A38" s="713">
        <f t="shared" si="0"/>
        <v>10</v>
      </c>
      <c r="B38" s="714"/>
      <c r="C38" s="715" t="str">
        <f>'приложение 1.1 2016-2017 тр'!B31</f>
        <v>Реконструкция РП - 6 кВ </v>
      </c>
      <c r="D38" s="716"/>
      <c r="E38" s="716"/>
      <c r="F38" s="716"/>
      <c r="G38" s="716"/>
      <c r="H38" s="716"/>
      <c r="I38" s="71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10"/>
      <c r="AF38" s="710"/>
      <c r="AG38" s="710"/>
      <c r="AH38" s="707"/>
      <c r="AI38" s="707"/>
      <c r="AJ38" s="707"/>
      <c r="AK38" s="707"/>
      <c r="AL38" s="707"/>
      <c r="AM38" s="707"/>
      <c r="AN38" s="707"/>
      <c r="AO38" s="707"/>
      <c r="AP38" s="707"/>
      <c r="AQ38" s="707"/>
      <c r="AR38" s="707"/>
      <c r="AS38" s="707"/>
      <c r="AT38" s="707"/>
      <c r="AU38" s="707"/>
      <c r="AV38" s="707"/>
      <c r="AW38" s="707"/>
      <c r="AX38" s="707"/>
      <c r="AY38" s="707"/>
      <c r="AZ38" s="707"/>
      <c r="BA38" s="707"/>
      <c r="BB38" s="707"/>
      <c r="BC38" s="710"/>
      <c r="BD38" s="710"/>
      <c r="BE38" s="710"/>
      <c r="BF38" s="711">
        <f>3.09326757+('приложение 1.1 2016-2017 тр'!W31/1.18/1000)</f>
        <v>13.410216722542373</v>
      </c>
      <c r="BG38" s="711"/>
      <c r="BH38" s="711"/>
      <c r="BI38" s="711"/>
      <c r="BJ38" s="711"/>
      <c r="BK38" s="712"/>
      <c r="BL38" s="708"/>
      <c r="BM38" s="709"/>
      <c r="BN38" s="709"/>
      <c r="BO38" s="709"/>
      <c r="BP38" s="709"/>
      <c r="BQ38" s="709"/>
      <c r="BR38" s="709"/>
      <c r="BS38" s="709"/>
      <c r="BT38" s="709"/>
      <c r="BU38" s="709"/>
      <c r="BV38" s="709"/>
      <c r="BW38" s="709"/>
      <c r="BX38" s="709"/>
      <c r="BY38" s="709"/>
      <c r="BZ38" s="709"/>
      <c r="CA38" s="709"/>
      <c r="CB38" s="709"/>
      <c r="CC38" s="709"/>
      <c r="CD38" s="709"/>
      <c r="CE38" s="709"/>
      <c r="CF38" s="709"/>
      <c r="CG38" s="718"/>
      <c r="CH38" s="718"/>
      <c r="CI38" s="718"/>
      <c r="CJ38" s="709"/>
      <c r="CK38" s="709"/>
      <c r="CL38" s="709"/>
      <c r="CM38" s="709"/>
      <c r="CN38" s="709"/>
      <c r="CO38" s="709"/>
      <c r="CP38" s="718"/>
      <c r="CQ38" s="718"/>
      <c r="CR38" s="719"/>
      <c r="CS38" s="706"/>
      <c r="CT38" s="698"/>
      <c r="CU38" s="698"/>
      <c r="CV38" s="698"/>
      <c r="CW38" s="698"/>
      <c r="CX38" s="698"/>
      <c r="CY38" s="698">
        <f>3.09326757</f>
        <v>3.09326757</v>
      </c>
      <c r="CZ38" s="698"/>
      <c r="DA38" s="698"/>
      <c r="DB38" s="698"/>
      <c r="DC38" s="698"/>
      <c r="DD38" s="698"/>
      <c r="DE38" s="698"/>
      <c r="DF38" s="698"/>
      <c r="DG38" s="698"/>
      <c r="DH38" s="698"/>
      <c r="DI38" s="698"/>
      <c r="DJ38" s="698"/>
      <c r="DK38" s="698"/>
      <c r="DL38" s="698"/>
      <c r="DM38" s="698"/>
      <c r="DN38" s="702"/>
      <c r="DO38" s="702"/>
      <c r="DP38" s="702"/>
      <c r="DQ38" s="698">
        <f>'приложение 1.1 2016-2017 тр'!W31/1.18/1000</f>
        <v>10.316949152542373</v>
      </c>
      <c r="DR38" s="698"/>
      <c r="DS38" s="698"/>
      <c r="DT38" s="698"/>
      <c r="DU38" s="698"/>
      <c r="DV38" s="698"/>
      <c r="DW38" s="699">
        <f t="shared" si="1"/>
        <v>13.410216722542373</v>
      </c>
      <c r="DX38" s="700"/>
      <c r="DY38" s="701"/>
      <c r="DZ38" s="422"/>
    </row>
    <row r="39" spans="1:130" s="418" customFormat="1" ht="10.5">
      <c r="A39" s="713">
        <f t="shared" si="0"/>
        <v>11</v>
      </c>
      <c r="B39" s="714"/>
      <c r="C39" s="715" t="str">
        <f>'приложение 1.1 2016-2017 тр'!B37</f>
        <v>Реконструкция ВЛ - 6 кВ</v>
      </c>
      <c r="D39" s="716"/>
      <c r="E39" s="716"/>
      <c r="F39" s="716"/>
      <c r="G39" s="716"/>
      <c r="H39" s="716"/>
      <c r="I39" s="717"/>
      <c r="J39" s="707"/>
      <c r="K39" s="707"/>
      <c r="L39" s="707"/>
      <c r="M39" s="707"/>
      <c r="N39" s="707"/>
      <c r="O39" s="707"/>
      <c r="P39" s="707"/>
      <c r="Q39" s="707"/>
      <c r="R39" s="707"/>
      <c r="S39" s="707">
        <v>2.5</v>
      </c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10">
        <f>S39</f>
        <v>2.5</v>
      </c>
      <c r="AF39" s="710"/>
      <c r="AG39" s="710"/>
      <c r="AH39" s="707"/>
      <c r="AI39" s="707"/>
      <c r="AJ39" s="707"/>
      <c r="AK39" s="707"/>
      <c r="AL39" s="707"/>
      <c r="AM39" s="707"/>
      <c r="AN39" s="707"/>
      <c r="AO39" s="707"/>
      <c r="AP39" s="707"/>
      <c r="AQ39" s="707">
        <f>S39</f>
        <v>2.5</v>
      </c>
      <c r="AR39" s="707"/>
      <c r="AS39" s="707"/>
      <c r="AT39" s="707"/>
      <c r="AU39" s="707"/>
      <c r="AV39" s="707"/>
      <c r="AW39" s="707"/>
      <c r="AX39" s="707"/>
      <c r="AY39" s="707"/>
      <c r="AZ39" s="707"/>
      <c r="BA39" s="707"/>
      <c r="BB39" s="707"/>
      <c r="BC39" s="710">
        <f>AQ39</f>
        <v>2.5</v>
      </c>
      <c r="BD39" s="710"/>
      <c r="BE39" s="710"/>
      <c r="BF39" s="711">
        <f>(2.7449999+0.446049)/1.18+0.18+3.007138</f>
        <v>5.891416728813559</v>
      </c>
      <c r="BG39" s="711"/>
      <c r="BH39" s="711"/>
      <c r="BI39" s="711"/>
      <c r="BJ39" s="711"/>
      <c r="BK39" s="712"/>
      <c r="BL39" s="708"/>
      <c r="BM39" s="709"/>
      <c r="BN39" s="709"/>
      <c r="BO39" s="709"/>
      <c r="BP39" s="709"/>
      <c r="BQ39" s="709"/>
      <c r="BR39" s="703">
        <f>AE39</f>
        <v>2.5</v>
      </c>
      <c r="BS39" s="703"/>
      <c r="BT39" s="703"/>
      <c r="BU39" s="703"/>
      <c r="BV39" s="703"/>
      <c r="BW39" s="703"/>
      <c r="BX39" s="703"/>
      <c r="BY39" s="703"/>
      <c r="BZ39" s="703"/>
      <c r="CA39" s="703"/>
      <c r="CB39" s="703"/>
      <c r="CC39" s="703"/>
      <c r="CD39" s="703"/>
      <c r="CE39" s="703"/>
      <c r="CF39" s="703"/>
      <c r="CG39" s="704"/>
      <c r="CH39" s="704"/>
      <c r="CI39" s="704"/>
      <c r="CJ39" s="703"/>
      <c r="CK39" s="703"/>
      <c r="CL39" s="703"/>
      <c r="CM39" s="703"/>
      <c r="CN39" s="703"/>
      <c r="CO39" s="703"/>
      <c r="CP39" s="704">
        <f>BR39</f>
        <v>2.5</v>
      </c>
      <c r="CQ39" s="704"/>
      <c r="CR39" s="705"/>
      <c r="CS39" s="706"/>
      <c r="CT39" s="698"/>
      <c r="CU39" s="698"/>
      <c r="CV39" s="698"/>
      <c r="CW39" s="698"/>
      <c r="CX39" s="698"/>
      <c r="CY39" s="698">
        <f>BF39</f>
        <v>5.891416728813559</v>
      </c>
      <c r="CZ39" s="698"/>
      <c r="DA39" s="698"/>
      <c r="DB39" s="698"/>
      <c r="DC39" s="698"/>
      <c r="DD39" s="698"/>
      <c r="DE39" s="698"/>
      <c r="DF39" s="698"/>
      <c r="DG39" s="698"/>
      <c r="DH39" s="698"/>
      <c r="DI39" s="698"/>
      <c r="DJ39" s="698"/>
      <c r="DK39" s="698"/>
      <c r="DL39" s="698"/>
      <c r="DM39" s="698"/>
      <c r="DN39" s="702"/>
      <c r="DO39" s="702"/>
      <c r="DP39" s="702"/>
      <c r="DQ39" s="698"/>
      <c r="DR39" s="698"/>
      <c r="DS39" s="698"/>
      <c r="DT39" s="698"/>
      <c r="DU39" s="698"/>
      <c r="DV39" s="698"/>
      <c r="DW39" s="699">
        <f t="shared" si="1"/>
        <v>5.891416728813559</v>
      </c>
      <c r="DX39" s="700"/>
      <c r="DY39" s="701"/>
      <c r="DZ39" s="422"/>
    </row>
    <row r="40" spans="1:130" s="418" customFormat="1" ht="10.5">
      <c r="A40" s="713">
        <f t="shared" si="0"/>
        <v>12</v>
      </c>
      <c r="B40" s="714"/>
      <c r="C40" s="715" t="str">
        <f>'приложение 1.1 2016-2017 тр'!B38</f>
        <v>Реконструкция ВЛ - 6 кВ (2 этап)</v>
      </c>
      <c r="D40" s="716"/>
      <c r="E40" s="716"/>
      <c r="F40" s="716"/>
      <c r="G40" s="716"/>
      <c r="H40" s="716"/>
      <c r="I40" s="717"/>
      <c r="J40" s="707"/>
      <c r="K40" s="707"/>
      <c r="L40" s="707"/>
      <c r="M40" s="707"/>
      <c r="N40" s="707"/>
      <c r="O40" s="707"/>
      <c r="P40" s="765"/>
      <c r="Q40" s="765"/>
      <c r="R40" s="765"/>
      <c r="S40" s="707"/>
      <c r="T40" s="707"/>
      <c r="U40" s="707"/>
      <c r="V40" s="707"/>
      <c r="W40" s="707"/>
      <c r="X40" s="707"/>
      <c r="Y40" s="707"/>
      <c r="Z40" s="707"/>
      <c r="AA40" s="707"/>
      <c r="AB40" s="707"/>
      <c r="AC40" s="707"/>
      <c r="AD40" s="707"/>
      <c r="AE40" s="710"/>
      <c r="AF40" s="710"/>
      <c r="AG40" s="710"/>
      <c r="AH40" s="707"/>
      <c r="AI40" s="707"/>
      <c r="AJ40" s="707"/>
      <c r="AK40" s="707"/>
      <c r="AL40" s="707"/>
      <c r="AM40" s="707"/>
      <c r="AN40" s="707"/>
      <c r="AO40" s="707"/>
      <c r="AP40" s="707"/>
      <c r="AQ40" s="707"/>
      <c r="AR40" s="707"/>
      <c r="AS40" s="707"/>
      <c r="AT40" s="707"/>
      <c r="AU40" s="707"/>
      <c r="AV40" s="707"/>
      <c r="AW40" s="707"/>
      <c r="AX40" s="707"/>
      <c r="AY40" s="707"/>
      <c r="AZ40" s="707"/>
      <c r="BA40" s="707"/>
      <c r="BB40" s="707"/>
      <c r="BC40" s="710"/>
      <c r="BD40" s="710"/>
      <c r="BE40" s="710"/>
      <c r="BF40" s="711">
        <f>0.93685</f>
        <v>0.93685</v>
      </c>
      <c r="BG40" s="711"/>
      <c r="BH40" s="711"/>
      <c r="BI40" s="711"/>
      <c r="BJ40" s="711"/>
      <c r="BK40" s="712"/>
      <c r="BL40" s="708"/>
      <c r="BM40" s="709"/>
      <c r="BN40" s="709"/>
      <c r="BO40" s="709"/>
      <c r="BP40" s="709"/>
      <c r="BQ40" s="709"/>
      <c r="BR40" s="703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4"/>
      <c r="CH40" s="704"/>
      <c r="CI40" s="704"/>
      <c r="CJ40" s="703"/>
      <c r="CK40" s="703"/>
      <c r="CL40" s="703"/>
      <c r="CM40" s="703"/>
      <c r="CN40" s="703"/>
      <c r="CO40" s="703"/>
      <c r="CP40" s="704"/>
      <c r="CQ40" s="704"/>
      <c r="CR40" s="705"/>
      <c r="CS40" s="706"/>
      <c r="CT40" s="698"/>
      <c r="CU40" s="698"/>
      <c r="CV40" s="698"/>
      <c r="CW40" s="698"/>
      <c r="CX40" s="698"/>
      <c r="CY40" s="698">
        <f>BF40</f>
        <v>0.93685</v>
      </c>
      <c r="CZ40" s="698"/>
      <c r="DA40" s="698"/>
      <c r="DB40" s="698"/>
      <c r="DC40" s="698"/>
      <c r="DD40" s="698"/>
      <c r="DE40" s="698"/>
      <c r="DF40" s="698"/>
      <c r="DG40" s="698"/>
      <c r="DH40" s="698"/>
      <c r="DI40" s="698"/>
      <c r="DJ40" s="698"/>
      <c r="DK40" s="698"/>
      <c r="DL40" s="698"/>
      <c r="DM40" s="698"/>
      <c r="DN40" s="702"/>
      <c r="DO40" s="702"/>
      <c r="DP40" s="702"/>
      <c r="DQ40" s="698"/>
      <c r="DR40" s="698"/>
      <c r="DS40" s="698"/>
      <c r="DT40" s="698"/>
      <c r="DU40" s="698"/>
      <c r="DV40" s="698"/>
      <c r="DW40" s="699">
        <f t="shared" si="1"/>
        <v>0.93685</v>
      </c>
      <c r="DX40" s="700"/>
      <c r="DY40" s="701"/>
      <c r="DZ40" s="422"/>
    </row>
    <row r="41" spans="1:130" s="418" customFormat="1" ht="10.5">
      <c r="A41" s="713">
        <f t="shared" si="0"/>
        <v>13</v>
      </c>
      <c r="B41" s="714"/>
      <c r="C41" s="715" t="str">
        <f>'приложение 1.1 2016-2017 тр'!B40</f>
        <v>Строительство ТП</v>
      </c>
      <c r="D41" s="716"/>
      <c r="E41" s="716"/>
      <c r="F41" s="716"/>
      <c r="G41" s="716"/>
      <c r="H41" s="716"/>
      <c r="I41" s="71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10"/>
      <c r="AF41" s="710"/>
      <c r="AG41" s="710"/>
      <c r="AH41" s="707"/>
      <c r="AI41" s="707"/>
      <c r="AJ41" s="707"/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707"/>
      <c r="AV41" s="707"/>
      <c r="AW41" s="707"/>
      <c r="AX41" s="707"/>
      <c r="AY41" s="707"/>
      <c r="AZ41" s="707"/>
      <c r="BA41" s="707"/>
      <c r="BB41" s="707"/>
      <c r="BC41" s="710"/>
      <c r="BD41" s="710"/>
      <c r="BE41" s="710"/>
      <c r="BF41" s="711">
        <f>4.414958/1.18+0.17+11.896</f>
        <v>15.807489830508477</v>
      </c>
      <c r="BG41" s="711"/>
      <c r="BH41" s="711"/>
      <c r="BI41" s="711"/>
      <c r="BJ41" s="711"/>
      <c r="BK41" s="712"/>
      <c r="BL41" s="708"/>
      <c r="BM41" s="709"/>
      <c r="BN41" s="709"/>
      <c r="BO41" s="709"/>
      <c r="BP41" s="709"/>
      <c r="BQ41" s="709"/>
      <c r="BR41" s="709"/>
      <c r="BS41" s="709"/>
      <c r="BT41" s="709"/>
      <c r="BU41" s="709"/>
      <c r="BV41" s="709"/>
      <c r="BW41" s="709"/>
      <c r="BX41" s="709"/>
      <c r="BY41" s="709"/>
      <c r="BZ41" s="709"/>
      <c r="CA41" s="709"/>
      <c r="CB41" s="709"/>
      <c r="CC41" s="709"/>
      <c r="CD41" s="703"/>
      <c r="CE41" s="703"/>
      <c r="CF41" s="703"/>
      <c r="CG41" s="704"/>
      <c r="CH41" s="704"/>
      <c r="CI41" s="704"/>
      <c r="CJ41" s="703"/>
      <c r="CK41" s="703"/>
      <c r="CL41" s="703"/>
      <c r="CM41" s="703"/>
      <c r="CN41" s="703"/>
      <c r="CO41" s="703"/>
      <c r="CP41" s="704"/>
      <c r="CQ41" s="704"/>
      <c r="CR41" s="705"/>
      <c r="CS41" s="706"/>
      <c r="CT41" s="698"/>
      <c r="CU41" s="698"/>
      <c r="CV41" s="698"/>
      <c r="CW41" s="698"/>
      <c r="CX41" s="698"/>
      <c r="CY41" s="698">
        <f>BF41</f>
        <v>15.807489830508477</v>
      </c>
      <c r="CZ41" s="698"/>
      <c r="DA41" s="698"/>
      <c r="DB41" s="698"/>
      <c r="DC41" s="698"/>
      <c r="DD41" s="698"/>
      <c r="DE41" s="698"/>
      <c r="DF41" s="698"/>
      <c r="DG41" s="698"/>
      <c r="DH41" s="698"/>
      <c r="DI41" s="698"/>
      <c r="DJ41" s="698"/>
      <c r="DK41" s="698"/>
      <c r="DL41" s="698"/>
      <c r="DM41" s="698"/>
      <c r="DN41" s="702"/>
      <c r="DO41" s="702"/>
      <c r="DP41" s="702"/>
      <c r="DQ41" s="698"/>
      <c r="DR41" s="698"/>
      <c r="DS41" s="698"/>
      <c r="DT41" s="698"/>
      <c r="DU41" s="698"/>
      <c r="DV41" s="698"/>
      <c r="DW41" s="699">
        <f t="shared" si="1"/>
        <v>15.807489830508477</v>
      </c>
      <c r="DX41" s="700"/>
      <c r="DY41" s="701"/>
      <c r="DZ41" s="422"/>
    </row>
    <row r="42" spans="1:130" s="418" customFormat="1" ht="22.5" customHeight="1" thickBot="1">
      <c r="A42" s="766">
        <f t="shared" si="0"/>
        <v>14</v>
      </c>
      <c r="B42" s="767"/>
      <c r="C42" s="768" t="str">
        <f>'приложение 1.1 2016-2017 тр'!B33</f>
        <v>Прокладка оптоволоконного кабеля АСУТП</v>
      </c>
      <c r="D42" s="769"/>
      <c r="E42" s="769"/>
      <c r="F42" s="769"/>
      <c r="G42" s="769"/>
      <c r="H42" s="769"/>
      <c r="I42" s="770"/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771"/>
      <c r="X42" s="771"/>
      <c r="Y42" s="771"/>
      <c r="Z42" s="771"/>
      <c r="AA42" s="771"/>
      <c r="AB42" s="771"/>
      <c r="AC42" s="771"/>
      <c r="AD42" s="771"/>
      <c r="AE42" s="772"/>
      <c r="AF42" s="772"/>
      <c r="AG42" s="772"/>
      <c r="AH42" s="771"/>
      <c r="AI42" s="771"/>
      <c r="AJ42" s="771"/>
      <c r="AK42" s="771"/>
      <c r="AL42" s="771"/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771"/>
      <c r="AY42" s="771"/>
      <c r="AZ42" s="771"/>
      <c r="BA42" s="771"/>
      <c r="BB42" s="771"/>
      <c r="BC42" s="772"/>
      <c r="BD42" s="772"/>
      <c r="BE42" s="772"/>
      <c r="BF42" s="773">
        <f>'приложение 1.1 2016-2017 тр'!G33/1.18/1000</f>
        <v>0</v>
      </c>
      <c r="BG42" s="773"/>
      <c r="BH42" s="773"/>
      <c r="BI42" s="773"/>
      <c r="BJ42" s="773"/>
      <c r="BK42" s="774"/>
      <c r="BL42" s="775"/>
      <c r="BM42" s="776"/>
      <c r="BN42" s="776"/>
      <c r="BO42" s="776"/>
      <c r="BP42" s="776"/>
      <c r="BQ42" s="776"/>
      <c r="BR42" s="776"/>
      <c r="BS42" s="776"/>
      <c r="BT42" s="776"/>
      <c r="BU42" s="776"/>
      <c r="BV42" s="776"/>
      <c r="BW42" s="776"/>
      <c r="BX42" s="776"/>
      <c r="BY42" s="776"/>
      <c r="BZ42" s="776"/>
      <c r="CA42" s="776"/>
      <c r="CB42" s="776"/>
      <c r="CC42" s="776"/>
      <c r="CD42" s="777"/>
      <c r="CE42" s="777"/>
      <c r="CF42" s="777"/>
      <c r="CG42" s="778"/>
      <c r="CH42" s="778"/>
      <c r="CI42" s="778"/>
      <c r="CJ42" s="777"/>
      <c r="CK42" s="777"/>
      <c r="CL42" s="777"/>
      <c r="CM42" s="777"/>
      <c r="CN42" s="777"/>
      <c r="CO42" s="777"/>
      <c r="CP42" s="778"/>
      <c r="CQ42" s="778"/>
      <c r="CR42" s="779"/>
      <c r="CS42" s="780"/>
      <c r="CT42" s="720"/>
      <c r="CU42" s="720"/>
      <c r="CV42" s="720"/>
      <c r="CW42" s="720"/>
      <c r="CX42" s="720"/>
      <c r="CY42" s="720"/>
      <c r="CZ42" s="720"/>
      <c r="DA42" s="720"/>
      <c r="DB42" s="720"/>
      <c r="DC42" s="720"/>
      <c r="DD42" s="720"/>
      <c r="DE42" s="720"/>
      <c r="DF42" s="720"/>
      <c r="DG42" s="720"/>
      <c r="DH42" s="720"/>
      <c r="DI42" s="720"/>
      <c r="DJ42" s="720"/>
      <c r="DK42" s="720"/>
      <c r="DL42" s="720"/>
      <c r="DM42" s="720"/>
      <c r="DN42" s="784"/>
      <c r="DO42" s="784"/>
      <c r="DP42" s="784"/>
      <c r="DQ42" s="720"/>
      <c r="DR42" s="720"/>
      <c r="DS42" s="720"/>
      <c r="DT42" s="720"/>
      <c r="DU42" s="720"/>
      <c r="DV42" s="720"/>
      <c r="DW42" s="781">
        <f t="shared" si="1"/>
        <v>0</v>
      </c>
      <c r="DX42" s="782"/>
      <c r="DY42" s="783"/>
      <c r="DZ42" s="422"/>
    </row>
    <row r="43" s="419" customFormat="1" ht="11.25"/>
    <row r="44" spans="1:3" s="423" customFormat="1" ht="8.25">
      <c r="A44" s="423" t="s">
        <v>402</v>
      </c>
      <c r="C44" s="423" t="s">
        <v>403</v>
      </c>
    </row>
    <row r="45" spans="1:3" s="423" customFormat="1" ht="8.25">
      <c r="A45" s="423" t="s">
        <v>404</v>
      </c>
      <c r="C45" s="423" t="s">
        <v>405</v>
      </c>
    </row>
    <row r="46" s="423" customFormat="1" ht="8.25">
      <c r="C46" s="423" t="s">
        <v>406</v>
      </c>
    </row>
    <row r="47" spans="1:3" s="423" customFormat="1" ht="8.25">
      <c r="A47" s="423" t="s">
        <v>407</v>
      </c>
      <c r="C47" s="423" t="s">
        <v>408</v>
      </c>
    </row>
    <row r="48" s="423" customFormat="1" ht="8.25"/>
    <row r="49" s="423" customFormat="1" ht="8.25">
      <c r="A49" s="423" t="s">
        <v>409</v>
      </c>
    </row>
    <row r="50" s="420" customFormat="1" ht="12.75"/>
    <row r="51" s="420" customFormat="1" ht="12.75"/>
    <row r="52" s="420" customFormat="1" ht="12.75"/>
    <row r="53" spans="4:118" s="420" customFormat="1" ht="18.75" customHeight="1">
      <c r="D53" s="420" t="s">
        <v>230</v>
      </c>
      <c r="DN53" s="420" t="s">
        <v>231</v>
      </c>
    </row>
    <row r="54" s="420" customFormat="1" ht="12.75"/>
    <row r="55" s="420" customFormat="1" ht="12.75"/>
    <row r="56" s="420" customFormat="1" ht="12.75"/>
    <row r="57" s="420" customFormat="1" ht="12.75"/>
  </sheetData>
  <sheetProtection/>
  <mergeCells count="789">
    <mergeCell ref="A20:DZ20"/>
    <mergeCell ref="DW37:DY37"/>
    <mergeCell ref="DH37:DJ37"/>
    <mergeCell ref="DK37:DM37"/>
    <mergeCell ref="DN37:DP37"/>
    <mergeCell ref="DQ37:DS37"/>
    <mergeCell ref="DT37:DV37"/>
    <mergeCell ref="CP37:CR37"/>
    <mergeCell ref="CS37:CU37"/>
    <mergeCell ref="CV37:CX37"/>
    <mergeCell ref="CY37:DA37"/>
    <mergeCell ref="DB37:DD37"/>
    <mergeCell ref="DE37:DG37"/>
    <mergeCell ref="CA37:CC37"/>
    <mergeCell ref="CD37:CF37"/>
    <mergeCell ref="CG37:CI37"/>
    <mergeCell ref="CJ37:CL37"/>
    <mergeCell ref="CM37:CO37"/>
    <mergeCell ref="A29:B29"/>
    <mergeCell ref="C29:I29"/>
    <mergeCell ref="J29:L29"/>
    <mergeCell ref="M29:O29"/>
    <mergeCell ref="P29:R29"/>
    <mergeCell ref="BF37:BK37"/>
    <mergeCell ref="BC37:BE37"/>
    <mergeCell ref="V37:X37"/>
    <mergeCell ref="Y37:AA37"/>
    <mergeCell ref="AB37:AD37"/>
    <mergeCell ref="BL37:BN37"/>
    <mergeCell ref="BO37:BQ37"/>
    <mergeCell ref="BR37:BT37"/>
    <mergeCell ref="BU37:BW37"/>
    <mergeCell ref="BX37:BZ37"/>
    <mergeCell ref="AN37:AP37"/>
    <mergeCell ref="AQ37:AS37"/>
    <mergeCell ref="AT37:AV37"/>
    <mergeCell ref="AW37:AY37"/>
    <mergeCell ref="AZ37:BB37"/>
    <mergeCell ref="AE37:AG37"/>
    <mergeCell ref="AH37:AJ37"/>
    <mergeCell ref="AK37:AM37"/>
    <mergeCell ref="A37:B37"/>
    <mergeCell ref="C37:I37"/>
    <mergeCell ref="J37:L37"/>
    <mergeCell ref="M37:O37"/>
    <mergeCell ref="P37:R37"/>
    <mergeCell ref="S37:U37"/>
    <mergeCell ref="DW42:DY42"/>
    <mergeCell ref="DK42:DM42"/>
    <mergeCell ref="DN42:DP42"/>
    <mergeCell ref="DQ42:DS42"/>
    <mergeCell ref="DT42:DV42"/>
    <mergeCell ref="S29:U29"/>
    <mergeCell ref="V29:X29"/>
    <mergeCell ref="Y29:AA29"/>
    <mergeCell ref="AB29:AD29"/>
    <mergeCell ref="AE29:AG29"/>
    <mergeCell ref="CP42:CR42"/>
    <mergeCell ref="CS42:CU42"/>
    <mergeCell ref="CV42:CX42"/>
    <mergeCell ref="DB42:DD42"/>
    <mergeCell ref="DE42:DG42"/>
    <mergeCell ref="DH42:DJ42"/>
    <mergeCell ref="CA42:CC42"/>
    <mergeCell ref="CD42:CF42"/>
    <mergeCell ref="CG42:CI42"/>
    <mergeCell ref="CJ42:CL42"/>
    <mergeCell ref="CM42:CO42"/>
    <mergeCell ref="AH29:AJ29"/>
    <mergeCell ref="AK29:AM29"/>
    <mergeCell ref="AN29:AP29"/>
    <mergeCell ref="AQ29:AS29"/>
    <mergeCell ref="AT29:AV29"/>
    <mergeCell ref="BC42:BE42"/>
    <mergeCell ref="BF42:BK42"/>
    <mergeCell ref="BL42:BN42"/>
    <mergeCell ref="BO42:BQ42"/>
    <mergeCell ref="BU42:BW42"/>
    <mergeCell ref="BX42:BZ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DN41:DP41"/>
    <mergeCell ref="DQ41:DS41"/>
    <mergeCell ref="DT41:DV41"/>
    <mergeCell ref="DW41:DY41"/>
    <mergeCell ref="A42:B42"/>
    <mergeCell ref="C42:I42"/>
    <mergeCell ref="J42:L42"/>
    <mergeCell ref="M42:O42"/>
    <mergeCell ref="P42:R42"/>
    <mergeCell ref="CS41:CU41"/>
    <mergeCell ref="CV41:CX41"/>
    <mergeCell ref="DB41:DD41"/>
    <mergeCell ref="DE41:DG41"/>
    <mergeCell ref="DH41:DJ41"/>
    <mergeCell ref="DK41:DM41"/>
    <mergeCell ref="CD41:CF41"/>
    <mergeCell ref="CG41:CI41"/>
    <mergeCell ref="CJ41:CL41"/>
    <mergeCell ref="CM41:CO41"/>
    <mergeCell ref="CP41:CR41"/>
    <mergeCell ref="AW29:AY29"/>
    <mergeCell ref="AZ29:BB29"/>
    <mergeCell ref="BC29:BE29"/>
    <mergeCell ref="BF29:BK29"/>
    <mergeCell ref="BL29:BN29"/>
    <mergeCell ref="BF41:BK41"/>
    <mergeCell ref="BL41:BN41"/>
    <mergeCell ref="BC41:BE41"/>
    <mergeCell ref="BF40:BK40"/>
    <mergeCell ref="BL40:BN40"/>
    <mergeCell ref="BO41:BQ41"/>
    <mergeCell ref="BU41:BW41"/>
    <mergeCell ref="BX41:BZ41"/>
    <mergeCell ref="CA41:CC41"/>
    <mergeCell ref="BR41:BT41"/>
    <mergeCell ref="AN41:AP41"/>
    <mergeCell ref="AQ41:AS41"/>
    <mergeCell ref="AT41:AV41"/>
    <mergeCell ref="AW41:AY41"/>
    <mergeCell ref="AZ41:BB41"/>
    <mergeCell ref="V41:X41"/>
    <mergeCell ref="Y41:AA41"/>
    <mergeCell ref="AB41:AD41"/>
    <mergeCell ref="AE41:AG41"/>
    <mergeCell ref="AH41:AJ41"/>
    <mergeCell ref="AK41:AM41"/>
    <mergeCell ref="A41:B41"/>
    <mergeCell ref="C41:I41"/>
    <mergeCell ref="J41:L41"/>
    <mergeCell ref="M41:O41"/>
    <mergeCell ref="P41:R41"/>
    <mergeCell ref="S41:U41"/>
    <mergeCell ref="DK40:DM40"/>
    <mergeCell ref="DN40:DP40"/>
    <mergeCell ref="DQ40:DS40"/>
    <mergeCell ref="DT40:DV40"/>
    <mergeCell ref="DW40:DY40"/>
    <mergeCell ref="BO29:BQ29"/>
    <mergeCell ref="BR29:BT29"/>
    <mergeCell ref="BU29:BW29"/>
    <mergeCell ref="BX29:BZ29"/>
    <mergeCell ref="CA29:CC29"/>
    <mergeCell ref="CS40:CU40"/>
    <mergeCell ref="CV40:CX40"/>
    <mergeCell ref="DB40:DD40"/>
    <mergeCell ref="DE40:DG40"/>
    <mergeCell ref="DH40:DJ40"/>
    <mergeCell ref="CY40:DA40"/>
    <mergeCell ref="CD40:CF40"/>
    <mergeCell ref="CG40:CI40"/>
    <mergeCell ref="CJ40:CL40"/>
    <mergeCell ref="CM40:CO40"/>
    <mergeCell ref="CP40:CR40"/>
    <mergeCell ref="CD29:CF29"/>
    <mergeCell ref="CG29:CI29"/>
    <mergeCell ref="CJ29:CL29"/>
    <mergeCell ref="CM29:CO29"/>
    <mergeCell ref="CP29:CR29"/>
    <mergeCell ref="BO40:BQ40"/>
    <mergeCell ref="BU40:BW40"/>
    <mergeCell ref="BX40:BZ40"/>
    <mergeCell ref="CA40:CC40"/>
    <mergeCell ref="BR40:BT40"/>
    <mergeCell ref="AN40:AP40"/>
    <mergeCell ref="AQ40:AS40"/>
    <mergeCell ref="AT40:AV40"/>
    <mergeCell ref="AW40:AY40"/>
    <mergeCell ref="AZ40:BB40"/>
    <mergeCell ref="BC40:BE40"/>
    <mergeCell ref="V40:X40"/>
    <mergeCell ref="Y40:AA40"/>
    <mergeCell ref="AB40:AD40"/>
    <mergeCell ref="AE40:AG40"/>
    <mergeCell ref="AH40:AJ40"/>
    <mergeCell ref="AK40:AM40"/>
    <mergeCell ref="A40:B40"/>
    <mergeCell ref="C40:I40"/>
    <mergeCell ref="J40:L40"/>
    <mergeCell ref="M40:O40"/>
    <mergeCell ref="P40:R40"/>
    <mergeCell ref="S40:U40"/>
    <mergeCell ref="DK36:DM36"/>
    <mergeCell ref="DN36:DP36"/>
    <mergeCell ref="DQ36:DS36"/>
    <mergeCell ref="DT36:DV36"/>
    <mergeCell ref="DW36:DY36"/>
    <mergeCell ref="CS29:CU29"/>
    <mergeCell ref="CV29:CX29"/>
    <mergeCell ref="CY29:DA29"/>
    <mergeCell ref="DB29:DD29"/>
    <mergeCell ref="DE29:DG29"/>
    <mergeCell ref="CP36:CR36"/>
    <mergeCell ref="CS36:CU36"/>
    <mergeCell ref="CV36:CX36"/>
    <mergeCell ref="DB36:DD36"/>
    <mergeCell ref="DE36:DG36"/>
    <mergeCell ref="DH36:DJ36"/>
    <mergeCell ref="CY36:DA36"/>
    <mergeCell ref="CA36:CC36"/>
    <mergeCell ref="CD36:CF36"/>
    <mergeCell ref="CG36:CI36"/>
    <mergeCell ref="CJ36:CL36"/>
    <mergeCell ref="CM36:CO36"/>
    <mergeCell ref="DH29:DJ29"/>
    <mergeCell ref="CV35:CX35"/>
    <mergeCell ref="DB35:DD35"/>
    <mergeCell ref="DE35:DG35"/>
    <mergeCell ref="DH35:DJ35"/>
    <mergeCell ref="BC36:BE36"/>
    <mergeCell ref="BF36:BK36"/>
    <mergeCell ref="BL36:BN36"/>
    <mergeCell ref="BO36:BQ36"/>
    <mergeCell ref="BU36:BW36"/>
    <mergeCell ref="BX36:BZ36"/>
    <mergeCell ref="BR36:BT36"/>
    <mergeCell ref="AK36:AM36"/>
    <mergeCell ref="AN36:AP36"/>
    <mergeCell ref="AQ36:AS36"/>
    <mergeCell ref="AT36:AV36"/>
    <mergeCell ref="AW36:AY36"/>
    <mergeCell ref="AZ36:BB36"/>
    <mergeCell ref="S36:U36"/>
    <mergeCell ref="V36:X36"/>
    <mergeCell ref="Y36:AA36"/>
    <mergeCell ref="AB36:AD36"/>
    <mergeCell ref="AE36:AG36"/>
    <mergeCell ref="AH36:AJ36"/>
    <mergeCell ref="DN35:DP35"/>
    <mergeCell ref="DQ35:DS35"/>
    <mergeCell ref="DT35:DV35"/>
    <mergeCell ref="DW35:DY35"/>
    <mergeCell ref="A36:B36"/>
    <mergeCell ref="C36:I36"/>
    <mergeCell ref="J36:L36"/>
    <mergeCell ref="M36:O36"/>
    <mergeCell ref="P36:R36"/>
    <mergeCell ref="CS35:CU35"/>
    <mergeCell ref="DK35:DM35"/>
    <mergeCell ref="CD35:CF35"/>
    <mergeCell ref="CG35:CI35"/>
    <mergeCell ref="CJ35:CL35"/>
    <mergeCell ref="CM35:CO35"/>
    <mergeCell ref="CP35:CR35"/>
    <mergeCell ref="CY35:DA35"/>
    <mergeCell ref="DK29:DM29"/>
    <mergeCell ref="BF35:BK35"/>
    <mergeCell ref="BL35:BN35"/>
    <mergeCell ref="BO35:BQ35"/>
    <mergeCell ref="BU35:BW35"/>
    <mergeCell ref="BX35:BZ35"/>
    <mergeCell ref="CA35:CC35"/>
    <mergeCell ref="BR35:BT35"/>
    <mergeCell ref="DB34:DD34"/>
    <mergeCell ref="DE34:DG34"/>
    <mergeCell ref="AN35:AP35"/>
    <mergeCell ref="AQ35:AS35"/>
    <mergeCell ref="AT35:AV35"/>
    <mergeCell ref="AW35:AY35"/>
    <mergeCell ref="AZ35:BB35"/>
    <mergeCell ref="BC35:BE35"/>
    <mergeCell ref="V35:X35"/>
    <mergeCell ref="Y35:AA35"/>
    <mergeCell ref="AB35:AD35"/>
    <mergeCell ref="AE35:AG35"/>
    <mergeCell ref="AH35:AJ35"/>
    <mergeCell ref="AK35:AM35"/>
    <mergeCell ref="DQ34:DS34"/>
    <mergeCell ref="DT34:DV34"/>
    <mergeCell ref="DW34:DY34"/>
    <mergeCell ref="A35:B35"/>
    <mergeCell ref="C35:I35"/>
    <mergeCell ref="J35:L35"/>
    <mergeCell ref="M35:O35"/>
    <mergeCell ref="P35:R35"/>
    <mergeCell ref="S35:U35"/>
    <mergeCell ref="CV34:CX34"/>
    <mergeCell ref="DH34:DJ34"/>
    <mergeCell ref="DK34:DM34"/>
    <mergeCell ref="DN34:DP34"/>
    <mergeCell ref="CG34:CI34"/>
    <mergeCell ref="CJ34:CL34"/>
    <mergeCell ref="CM34:CO34"/>
    <mergeCell ref="CP34:CR34"/>
    <mergeCell ref="CS34:CU34"/>
    <mergeCell ref="CY34:DA34"/>
    <mergeCell ref="DN29:DP29"/>
    <mergeCell ref="BL34:BN34"/>
    <mergeCell ref="BO34:BQ34"/>
    <mergeCell ref="BU34:BW34"/>
    <mergeCell ref="BX34:BZ34"/>
    <mergeCell ref="CA34:CC34"/>
    <mergeCell ref="CD34:CF34"/>
    <mergeCell ref="BR34:BT34"/>
    <mergeCell ref="DE33:DG33"/>
    <mergeCell ref="DH33:DJ33"/>
    <mergeCell ref="AQ34:AS34"/>
    <mergeCell ref="AT34:AV34"/>
    <mergeCell ref="AW34:AY34"/>
    <mergeCell ref="AZ34:BB34"/>
    <mergeCell ref="BC34:BE34"/>
    <mergeCell ref="BF34:BK34"/>
    <mergeCell ref="Y34:AA34"/>
    <mergeCell ref="AB34:AD34"/>
    <mergeCell ref="AE34:AG34"/>
    <mergeCell ref="AH34:AJ34"/>
    <mergeCell ref="AK34:AM34"/>
    <mergeCell ref="AN34:AP34"/>
    <mergeCell ref="DT33:DV33"/>
    <mergeCell ref="DW33:DY33"/>
    <mergeCell ref="A34:B34"/>
    <mergeCell ref="C34:I34"/>
    <mergeCell ref="J34:L34"/>
    <mergeCell ref="M34:O34"/>
    <mergeCell ref="P34:R34"/>
    <mergeCell ref="S34:U34"/>
    <mergeCell ref="V34:X34"/>
    <mergeCell ref="DB33:DD33"/>
    <mergeCell ref="CG33:CI33"/>
    <mergeCell ref="CJ33:CL33"/>
    <mergeCell ref="CP33:CR33"/>
    <mergeCell ref="CS33:CU33"/>
    <mergeCell ref="CV33:CX33"/>
    <mergeCell ref="CM33:CO33"/>
    <mergeCell ref="DQ32:DS32"/>
    <mergeCell ref="DE32:DG32"/>
    <mergeCell ref="DH32:DJ32"/>
    <mergeCell ref="DK33:DM33"/>
    <mergeCell ref="DN33:DP33"/>
    <mergeCell ref="DQ33:DS33"/>
    <mergeCell ref="DK32:DM32"/>
    <mergeCell ref="DN32:DP32"/>
    <mergeCell ref="BL33:BN33"/>
    <mergeCell ref="BO33:BQ33"/>
    <mergeCell ref="BU33:BW33"/>
    <mergeCell ref="BX33:BZ33"/>
    <mergeCell ref="CA33:CC33"/>
    <mergeCell ref="CD33:CF33"/>
    <mergeCell ref="BR33:BT33"/>
    <mergeCell ref="AQ33:AS33"/>
    <mergeCell ref="AT33:AV33"/>
    <mergeCell ref="AW33:AY33"/>
    <mergeCell ref="AZ33:BB33"/>
    <mergeCell ref="BC33:BE33"/>
    <mergeCell ref="BF33:BK33"/>
    <mergeCell ref="V33:X33"/>
    <mergeCell ref="Y33:AA33"/>
    <mergeCell ref="AB33:AD33"/>
    <mergeCell ref="AE33:AG33"/>
    <mergeCell ref="AH33:AJ33"/>
    <mergeCell ref="AK33:AM33"/>
    <mergeCell ref="DT32:DV32"/>
    <mergeCell ref="DW32:DY32"/>
    <mergeCell ref="A33:B33"/>
    <mergeCell ref="C33:I33"/>
    <mergeCell ref="J33:L33"/>
    <mergeCell ref="M33:O33"/>
    <mergeCell ref="P33:R33"/>
    <mergeCell ref="S33:U33"/>
    <mergeCell ref="CV32:CX32"/>
    <mergeCell ref="DB32:DD32"/>
    <mergeCell ref="BL22:DY22"/>
    <mergeCell ref="CS28:CU28"/>
    <mergeCell ref="CV28:CX28"/>
    <mergeCell ref="CS30:CU30"/>
    <mergeCell ref="CV30:CX30"/>
    <mergeCell ref="CS31:CU31"/>
    <mergeCell ref="CV31:CX31"/>
    <mergeCell ref="DW25:DY25"/>
    <mergeCell ref="DW26:DY26"/>
    <mergeCell ref="DQ28:DS28"/>
    <mergeCell ref="DT29:DV29"/>
    <mergeCell ref="DW29:DY29"/>
    <mergeCell ref="DQ30:DS30"/>
    <mergeCell ref="DT30:DV30"/>
    <mergeCell ref="DW30:DY30"/>
    <mergeCell ref="DQ31:DS31"/>
    <mergeCell ref="DT31:DV31"/>
    <mergeCell ref="DW31:DY31"/>
    <mergeCell ref="DQ29:DS29"/>
    <mergeCell ref="DT28:DV28"/>
    <mergeCell ref="DW28:DY28"/>
    <mergeCell ref="CS27:DY27"/>
    <mergeCell ref="DQ25:DS25"/>
    <mergeCell ref="DT25:DV25"/>
    <mergeCell ref="DQ26:DS26"/>
    <mergeCell ref="DT26:DV26"/>
    <mergeCell ref="CV26:CX26"/>
    <mergeCell ref="DB26:DD26"/>
    <mergeCell ref="DE26:DG26"/>
    <mergeCell ref="DH26:DJ26"/>
    <mergeCell ref="DK26:DM26"/>
    <mergeCell ref="DN26:DP26"/>
    <mergeCell ref="DQ23:DS23"/>
    <mergeCell ref="DT23:DV23"/>
    <mergeCell ref="DQ24:DS24"/>
    <mergeCell ref="DT24:DV24"/>
    <mergeCell ref="DN24:DP24"/>
    <mergeCell ref="DH25:DJ25"/>
    <mergeCell ref="DK25:DM25"/>
    <mergeCell ref="CM32:CO32"/>
    <mergeCell ref="CM26:CO26"/>
    <mergeCell ref="CM28:CO28"/>
    <mergeCell ref="BL27:CR27"/>
    <mergeCell ref="CJ26:CL26"/>
    <mergeCell ref="CP26:CR26"/>
    <mergeCell ref="CD26:CF26"/>
    <mergeCell ref="CG26:CI26"/>
    <mergeCell ref="BU26:BW26"/>
    <mergeCell ref="BL32:BN32"/>
    <mergeCell ref="CJ28:CL28"/>
    <mergeCell ref="CP28:CR28"/>
    <mergeCell ref="CM23:CO23"/>
    <mergeCell ref="CM24:CO24"/>
    <mergeCell ref="BX26:BZ26"/>
    <mergeCell ref="CM25:CO25"/>
    <mergeCell ref="CG24:CI24"/>
    <mergeCell ref="CJ24:CL24"/>
    <mergeCell ref="CA26:CC26"/>
    <mergeCell ref="CJ25:CL25"/>
    <mergeCell ref="V31:X31"/>
    <mergeCell ref="Y31:AA31"/>
    <mergeCell ref="CS23:CU23"/>
    <mergeCell ref="CV23:CX23"/>
    <mergeCell ref="DW23:DY23"/>
    <mergeCell ref="BL28:BN28"/>
    <mergeCell ref="BO28:BQ28"/>
    <mergeCell ref="BL30:BN30"/>
    <mergeCell ref="BO30:BQ30"/>
    <mergeCell ref="DN28:DP28"/>
    <mergeCell ref="AH30:AJ30"/>
    <mergeCell ref="AK30:AM30"/>
    <mergeCell ref="DN31:DP31"/>
    <mergeCell ref="CP31:CR31"/>
    <mergeCell ref="BU31:BW31"/>
    <mergeCell ref="DK31:DM31"/>
    <mergeCell ref="CD31:CF31"/>
    <mergeCell ref="CG31:CI31"/>
    <mergeCell ref="CJ31:CL31"/>
    <mergeCell ref="AK31:AM31"/>
    <mergeCell ref="AW27:AY27"/>
    <mergeCell ref="AZ27:BB27"/>
    <mergeCell ref="AQ28:AS28"/>
    <mergeCell ref="AT28:AV28"/>
    <mergeCell ref="AW28:AY28"/>
    <mergeCell ref="AZ28:BB28"/>
    <mergeCell ref="AW24:AY24"/>
    <mergeCell ref="AZ24:BB24"/>
    <mergeCell ref="AQ25:AS25"/>
    <mergeCell ref="AT25:AV25"/>
    <mergeCell ref="AW25:AY25"/>
    <mergeCell ref="AZ25:BB25"/>
    <mergeCell ref="AQ24:AS24"/>
    <mergeCell ref="AT24:AV24"/>
    <mergeCell ref="AT26:AV26"/>
    <mergeCell ref="AQ27:AS27"/>
    <mergeCell ref="AT27:AV27"/>
    <mergeCell ref="AB25:AD25"/>
    <mergeCell ref="V26:X26"/>
    <mergeCell ref="Y26:AA26"/>
    <mergeCell ref="AB26:AD26"/>
    <mergeCell ref="AN27:AP27"/>
    <mergeCell ref="AH26:AJ26"/>
    <mergeCell ref="AH25:AJ25"/>
    <mergeCell ref="S24:U24"/>
    <mergeCell ref="V24:X24"/>
    <mergeCell ref="Y24:AA24"/>
    <mergeCell ref="AB24:AD24"/>
    <mergeCell ref="S25:U25"/>
    <mergeCell ref="V25:X25"/>
    <mergeCell ref="Y25:AA25"/>
    <mergeCell ref="AN31:AP31"/>
    <mergeCell ref="BC31:BE31"/>
    <mergeCell ref="BF31:BK31"/>
    <mergeCell ref="AQ31:AS31"/>
    <mergeCell ref="DB31:DD31"/>
    <mergeCell ref="BR31:BT31"/>
    <mergeCell ref="AT31:AV31"/>
    <mergeCell ref="AN33:AP33"/>
    <mergeCell ref="AH31:AJ31"/>
    <mergeCell ref="A32:B32"/>
    <mergeCell ref="C32:I32"/>
    <mergeCell ref="J32:L32"/>
    <mergeCell ref="M32:O32"/>
    <mergeCell ref="P32:R32"/>
    <mergeCell ref="A31:B31"/>
    <mergeCell ref="C31:I31"/>
    <mergeCell ref="J31:L31"/>
    <mergeCell ref="M31:O31"/>
    <mergeCell ref="P31:R31"/>
    <mergeCell ref="AE31:AG31"/>
    <mergeCell ref="DH30:DJ30"/>
    <mergeCell ref="DK30:DM30"/>
    <mergeCell ref="DN30:DP30"/>
    <mergeCell ref="BX31:BZ31"/>
    <mergeCell ref="AW31:AY31"/>
    <mergeCell ref="AZ31:BB31"/>
    <mergeCell ref="CA31:CC31"/>
    <mergeCell ref="DE31:DG31"/>
    <mergeCell ref="DH31:DJ31"/>
    <mergeCell ref="CD30:CF30"/>
    <mergeCell ref="CG30:CI30"/>
    <mergeCell ref="CJ30:CL30"/>
    <mergeCell ref="CP30:CR30"/>
    <mergeCell ref="DB30:DD30"/>
    <mergeCell ref="DE30:DG30"/>
    <mergeCell ref="CM30:CO30"/>
    <mergeCell ref="CM31:CO31"/>
    <mergeCell ref="AN30:AP30"/>
    <mergeCell ref="BC30:BE30"/>
    <mergeCell ref="BF30:BK30"/>
    <mergeCell ref="BU30:BW30"/>
    <mergeCell ref="AW30:AY30"/>
    <mergeCell ref="AZ30:BB30"/>
    <mergeCell ref="AQ30:AS30"/>
    <mergeCell ref="AT30:AV30"/>
    <mergeCell ref="BR30:BT30"/>
    <mergeCell ref="A30:B30"/>
    <mergeCell ref="C30:I30"/>
    <mergeCell ref="J30:L30"/>
    <mergeCell ref="M30:O30"/>
    <mergeCell ref="P30:R30"/>
    <mergeCell ref="AE30:AG30"/>
    <mergeCell ref="S30:U30"/>
    <mergeCell ref="V30:X30"/>
    <mergeCell ref="Y30:AA30"/>
    <mergeCell ref="AB30:AD30"/>
    <mergeCell ref="DB28:DD28"/>
    <mergeCell ref="DE28:DG28"/>
    <mergeCell ref="DH28:DJ28"/>
    <mergeCell ref="DK28:DM28"/>
    <mergeCell ref="BU28:BW28"/>
    <mergeCell ref="BX28:BZ28"/>
    <mergeCell ref="CA28:CC28"/>
    <mergeCell ref="CD28:CF28"/>
    <mergeCell ref="CG28:CI28"/>
    <mergeCell ref="CY28:DA28"/>
    <mergeCell ref="AH28:AJ28"/>
    <mergeCell ref="AK28:AM28"/>
    <mergeCell ref="AN28:AP28"/>
    <mergeCell ref="S28:U28"/>
    <mergeCell ref="V28:X28"/>
    <mergeCell ref="Y28:AA28"/>
    <mergeCell ref="AB28:AD28"/>
    <mergeCell ref="BC27:BE27"/>
    <mergeCell ref="BF27:BK27"/>
    <mergeCell ref="A28:B28"/>
    <mergeCell ref="C28:I28"/>
    <mergeCell ref="J28:L28"/>
    <mergeCell ref="M28:O28"/>
    <mergeCell ref="P28:R28"/>
    <mergeCell ref="A27:B27"/>
    <mergeCell ref="C27:I27"/>
    <mergeCell ref="J27:L27"/>
    <mergeCell ref="M27:O27"/>
    <mergeCell ref="P27:R27"/>
    <mergeCell ref="AE27:AG27"/>
    <mergeCell ref="AH27:AJ27"/>
    <mergeCell ref="AK27:AM27"/>
    <mergeCell ref="M26:O26"/>
    <mergeCell ref="Y27:AA27"/>
    <mergeCell ref="AB27:AD27"/>
    <mergeCell ref="P26:R26"/>
    <mergeCell ref="AE26:AG26"/>
    <mergeCell ref="S32:U32"/>
    <mergeCell ref="V32:X32"/>
    <mergeCell ref="Y32:AA32"/>
    <mergeCell ref="AB32:AD32"/>
    <mergeCell ref="AE32:AG32"/>
    <mergeCell ref="S27:U27"/>
    <mergeCell ref="V27:X27"/>
    <mergeCell ref="AE28:AG28"/>
    <mergeCell ref="AB31:AD31"/>
    <mergeCell ref="S31:U31"/>
    <mergeCell ref="AK25:AM25"/>
    <mergeCell ref="AN25:AP25"/>
    <mergeCell ref="BC25:BE25"/>
    <mergeCell ref="BL25:BN25"/>
    <mergeCell ref="CD25:CF25"/>
    <mergeCell ref="CG25:CI25"/>
    <mergeCell ref="S26:U26"/>
    <mergeCell ref="DB25:DD25"/>
    <mergeCell ref="AW26:AY26"/>
    <mergeCell ref="AZ26:BB26"/>
    <mergeCell ref="BL26:BN26"/>
    <mergeCell ref="BO26:BQ26"/>
    <mergeCell ref="BR26:BT26"/>
    <mergeCell ref="AK26:AM26"/>
    <mergeCell ref="AN26:AP26"/>
    <mergeCell ref="AQ26:AS26"/>
    <mergeCell ref="BX30:BZ30"/>
    <mergeCell ref="CA30:CC30"/>
    <mergeCell ref="BR32:BT32"/>
    <mergeCell ref="DN25:DP25"/>
    <mergeCell ref="CS25:CU25"/>
    <mergeCell ref="CV25:CX25"/>
    <mergeCell ref="BX25:BZ25"/>
    <mergeCell ref="CA25:CC25"/>
    <mergeCell ref="CP25:CR25"/>
    <mergeCell ref="DE25:DG25"/>
    <mergeCell ref="AW32:AY32"/>
    <mergeCell ref="BF25:BK25"/>
    <mergeCell ref="BU25:BW25"/>
    <mergeCell ref="BO25:BQ25"/>
    <mergeCell ref="BC28:BE28"/>
    <mergeCell ref="BF28:BK28"/>
    <mergeCell ref="BL31:BN31"/>
    <mergeCell ref="BO31:BQ31"/>
    <mergeCell ref="BC26:BE26"/>
    <mergeCell ref="BF26:BK26"/>
    <mergeCell ref="A25:B25"/>
    <mergeCell ref="C25:I25"/>
    <mergeCell ref="J25:L25"/>
    <mergeCell ref="M25:O25"/>
    <mergeCell ref="P25:R25"/>
    <mergeCell ref="AE25:AG25"/>
    <mergeCell ref="A26:B26"/>
    <mergeCell ref="C26:I26"/>
    <mergeCell ref="J26:L26"/>
    <mergeCell ref="DE24:DG24"/>
    <mergeCell ref="DH24:DJ24"/>
    <mergeCell ref="DK24:DM24"/>
    <mergeCell ref="A24:B24"/>
    <mergeCell ref="C24:I24"/>
    <mergeCell ref="J24:L24"/>
    <mergeCell ref="M24:O24"/>
    <mergeCell ref="DW24:DY24"/>
    <mergeCell ref="AH32:AJ32"/>
    <mergeCell ref="AK32:AM32"/>
    <mergeCell ref="AN32:AP32"/>
    <mergeCell ref="AQ32:AS32"/>
    <mergeCell ref="AT32:AV32"/>
    <mergeCell ref="CP24:CR24"/>
    <mergeCell ref="DB24:DD24"/>
    <mergeCell ref="CS24:CU24"/>
    <mergeCell ref="CV24:CX24"/>
    <mergeCell ref="P24:R24"/>
    <mergeCell ref="AE24:AG24"/>
    <mergeCell ref="AH24:AJ24"/>
    <mergeCell ref="AK24:AM24"/>
    <mergeCell ref="AN24:AP24"/>
    <mergeCell ref="CJ23:CL23"/>
    <mergeCell ref="BX24:BZ24"/>
    <mergeCell ref="CA24:CC24"/>
    <mergeCell ref="CD24:CF24"/>
    <mergeCell ref="BO24:BQ24"/>
    <mergeCell ref="BF24:BK24"/>
    <mergeCell ref="DB23:DP23"/>
    <mergeCell ref="AZ32:BB32"/>
    <mergeCell ref="BC32:BE32"/>
    <mergeCell ref="BF32:BK32"/>
    <mergeCell ref="BO32:BQ32"/>
    <mergeCell ref="BU32:BW32"/>
    <mergeCell ref="BX32:BZ32"/>
    <mergeCell ref="CP23:CR23"/>
    <mergeCell ref="BR28:BT28"/>
    <mergeCell ref="BU24:BW24"/>
    <mergeCell ref="BL24:BN24"/>
    <mergeCell ref="C23:I23"/>
    <mergeCell ref="J23:AG23"/>
    <mergeCell ref="AH23:BE23"/>
    <mergeCell ref="BF23:BK23"/>
    <mergeCell ref="BU23:CI23"/>
    <mergeCell ref="BL23:BN23"/>
    <mergeCell ref="BO23:BQ23"/>
    <mergeCell ref="BC24:BE24"/>
    <mergeCell ref="A22:B22"/>
    <mergeCell ref="C22:I22"/>
    <mergeCell ref="J22:AG22"/>
    <mergeCell ref="AH22:BE22"/>
    <mergeCell ref="BF22:BK22"/>
    <mergeCell ref="CS26:CU26"/>
    <mergeCell ref="BR23:BT23"/>
    <mergeCell ref="BR24:BT24"/>
    <mergeCell ref="BR25:BT25"/>
    <mergeCell ref="A23:B23"/>
    <mergeCell ref="CA32:CC32"/>
    <mergeCell ref="CY30:DA30"/>
    <mergeCell ref="CY31:DA31"/>
    <mergeCell ref="CY32:DA32"/>
    <mergeCell ref="CY33:DA33"/>
    <mergeCell ref="CD32:CF32"/>
    <mergeCell ref="CS32:CU32"/>
    <mergeCell ref="CP32:CR32"/>
    <mergeCell ref="CG32:CI32"/>
    <mergeCell ref="CJ32:CL32"/>
    <mergeCell ref="CY41:DA41"/>
    <mergeCell ref="CY42:DA42"/>
    <mergeCell ref="DG14:DZ14"/>
    <mergeCell ref="DO15:DZ15"/>
    <mergeCell ref="DQ21:DY21"/>
    <mergeCell ref="CY23:DA23"/>
    <mergeCell ref="CY24:DA24"/>
    <mergeCell ref="CY25:DA25"/>
    <mergeCell ref="CY26:DA26"/>
    <mergeCell ref="A19:DZ19"/>
    <mergeCell ref="A38:B38"/>
    <mergeCell ref="C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CG38:CI38"/>
    <mergeCell ref="CJ38:CL38"/>
    <mergeCell ref="CM38:CO38"/>
    <mergeCell ref="CP38:CR38"/>
    <mergeCell ref="BF38:BK38"/>
    <mergeCell ref="BL38:BN38"/>
    <mergeCell ref="BO38:BQ38"/>
    <mergeCell ref="BR38:BT38"/>
    <mergeCell ref="BU38:BW38"/>
    <mergeCell ref="BX38:BZ38"/>
    <mergeCell ref="DW38:DY38"/>
    <mergeCell ref="A39:B39"/>
    <mergeCell ref="C39:I39"/>
    <mergeCell ref="J39:L39"/>
    <mergeCell ref="M39:O39"/>
    <mergeCell ref="P39:R39"/>
    <mergeCell ref="CS38:CU38"/>
    <mergeCell ref="CV38:CX38"/>
    <mergeCell ref="CY38:DA38"/>
    <mergeCell ref="DB38:DD38"/>
    <mergeCell ref="AK39:AM39"/>
    <mergeCell ref="AN39:AP39"/>
    <mergeCell ref="DK38:DM38"/>
    <mergeCell ref="DN38:DP38"/>
    <mergeCell ref="DQ38:DS38"/>
    <mergeCell ref="DT38:DV38"/>
    <mergeCell ref="DE38:DG38"/>
    <mergeCell ref="DH38:DJ38"/>
    <mergeCell ref="CA38:CC38"/>
    <mergeCell ref="CD38:CF38"/>
    <mergeCell ref="S39:U39"/>
    <mergeCell ref="V39:X39"/>
    <mergeCell ref="Y39:AA39"/>
    <mergeCell ref="AB39:AD39"/>
    <mergeCell ref="AE39:AG39"/>
    <mergeCell ref="AH39:AJ39"/>
    <mergeCell ref="AQ39:AS39"/>
    <mergeCell ref="AT39:AV39"/>
    <mergeCell ref="AW39:AY39"/>
    <mergeCell ref="AZ39:BB39"/>
    <mergeCell ref="BL39:BN39"/>
    <mergeCell ref="BO39:BQ39"/>
    <mergeCell ref="BC39:BE39"/>
    <mergeCell ref="BF39:BK39"/>
    <mergeCell ref="BR39:BT39"/>
    <mergeCell ref="BU39:BW39"/>
    <mergeCell ref="CD39:CF39"/>
    <mergeCell ref="CG39:CI39"/>
    <mergeCell ref="BX39:BZ39"/>
    <mergeCell ref="CA39:CC39"/>
    <mergeCell ref="CJ39:CL39"/>
    <mergeCell ref="CM39:CO39"/>
    <mergeCell ref="CV39:CX39"/>
    <mergeCell ref="DQ39:DS39"/>
    <mergeCell ref="CP39:CR39"/>
    <mergeCell ref="CS39:CU39"/>
    <mergeCell ref="DT39:DV39"/>
    <mergeCell ref="DW39:DY39"/>
    <mergeCell ref="CY39:DA39"/>
    <mergeCell ref="DB39:DD39"/>
    <mergeCell ref="DE39:DG39"/>
    <mergeCell ref="DH39:DJ39"/>
    <mergeCell ref="DK39:DM39"/>
    <mergeCell ref="DN39:DP39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zoomScaleSheetLayoutView="65" zoomScalePageLayoutView="0" workbookViewId="0" topLeftCell="F24">
      <selection activeCell="S24" sqref="S24"/>
    </sheetView>
  </sheetViews>
  <sheetFormatPr defaultColWidth="9.00390625" defaultRowHeight="15.75"/>
  <cols>
    <col min="1" max="1" width="7.50390625" style="52" bestFit="1" customWidth="1"/>
    <col min="2" max="2" width="25.125" style="53" customWidth="1"/>
    <col min="3" max="3" width="16.625" style="53" bestFit="1" customWidth="1"/>
    <col min="4" max="4" width="17.625" style="53" customWidth="1"/>
    <col min="5" max="6" width="10.875" style="53" bestFit="1" customWidth="1"/>
    <col min="7" max="7" width="6.25390625" style="53" bestFit="1" customWidth="1"/>
    <col min="8" max="8" width="8.875" style="53" bestFit="1" customWidth="1"/>
    <col min="9" max="9" width="13.875" style="55" customWidth="1"/>
    <col min="10" max="10" width="13.25390625" style="55" bestFit="1" customWidth="1"/>
    <col min="11" max="11" width="16.00390625" style="53" bestFit="1" customWidth="1"/>
    <col min="12" max="12" width="12.875" style="53" customWidth="1"/>
    <col min="13" max="13" width="16.875" style="53" customWidth="1"/>
    <col min="14" max="14" width="13.25390625" style="53" customWidth="1"/>
    <col min="15" max="15" width="18.375" style="53" hidden="1" customWidth="1"/>
    <col min="16" max="16" width="15.00390625" style="53" hidden="1" customWidth="1"/>
    <col min="17" max="17" width="14.75390625" style="53" bestFit="1" customWidth="1"/>
    <col min="18" max="18" width="14.625" style="53" bestFit="1" customWidth="1"/>
    <col min="19" max="19" width="13.75390625" style="53" bestFit="1" customWidth="1"/>
    <col min="20" max="20" width="14.25390625" style="53" bestFit="1" customWidth="1"/>
    <col min="21" max="21" width="41.125" style="55" customWidth="1"/>
    <col min="22" max="22" width="20.50390625" style="55" bestFit="1" customWidth="1"/>
    <col min="23" max="23" width="27.875" style="55" bestFit="1" customWidth="1"/>
    <col min="24" max="24" width="8.625" style="53" hidden="1" customWidth="1"/>
    <col min="25" max="25" width="5.00390625" style="53" hidden="1" customWidth="1"/>
    <col min="26" max="26" width="8.00390625" style="53" hidden="1" customWidth="1"/>
    <col min="27" max="27" width="11.875" style="53" hidden="1" customWidth="1"/>
    <col min="28" max="16384" width="9.00390625" style="52" customWidth="1"/>
  </cols>
  <sheetData>
    <row r="1" spans="15:23" ht="18.75">
      <c r="O1" s="54"/>
      <c r="P1" s="54"/>
      <c r="Q1" s="54"/>
      <c r="R1" s="54"/>
      <c r="S1" s="54"/>
      <c r="T1" s="54"/>
      <c r="U1" s="54"/>
      <c r="V1" s="54"/>
      <c r="W1" s="199" t="s">
        <v>540</v>
      </c>
    </row>
    <row r="2" spans="15:23" ht="18.75">
      <c r="O2" s="54"/>
      <c r="P2" s="54"/>
      <c r="Q2" s="54"/>
      <c r="R2" s="54"/>
      <c r="S2" s="54"/>
      <c r="T2" s="54"/>
      <c r="U2" s="54"/>
      <c r="V2" s="54"/>
      <c r="W2" s="199" t="s">
        <v>7</v>
      </c>
    </row>
    <row r="3" spans="1:27" ht="16.5">
      <c r="A3" s="603" t="s">
        <v>276</v>
      </c>
      <c r="B3" s="569"/>
      <c r="C3" s="569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5:27" ht="16.5"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2:23" ht="20.25">
      <c r="B5" s="52"/>
      <c r="O5" s="54"/>
      <c r="P5" s="54"/>
      <c r="Q5" s="54"/>
      <c r="R5" s="1"/>
      <c r="S5" s="1"/>
      <c r="T5" s="113"/>
      <c r="U5" s="113"/>
      <c r="V5" s="224"/>
      <c r="W5" s="114" t="s">
        <v>9</v>
      </c>
    </row>
    <row r="6" spans="15:23" ht="20.25">
      <c r="O6" s="54"/>
      <c r="P6" s="54"/>
      <c r="Q6" s="54"/>
      <c r="R6" s="1"/>
      <c r="S6" s="1"/>
      <c r="T6" s="113"/>
      <c r="U6" s="113"/>
      <c r="V6" s="568" t="s">
        <v>416</v>
      </c>
      <c r="W6" s="569"/>
    </row>
    <row r="7" spans="15:23" ht="20.25">
      <c r="O7" s="54"/>
      <c r="P7" s="54"/>
      <c r="Q7" s="54"/>
      <c r="R7" s="1"/>
      <c r="S7" s="1"/>
      <c r="T7" s="113"/>
      <c r="U7" s="113"/>
      <c r="V7" s="114"/>
      <c r="W7" s="130"/>
    </row>
    <row r="8" spans="15:23" ht="20.25">
      <c r="O8" s="54"/>
      <c r="P8" s="54"/>
      <c r="Q8" s="54"/>
      <c r="S8" s="200"/>
      <c r="T8" s="200"/>
      <c r="U8" s="200"/>
      <c r="V8" s="566" t="s">
        <v>315</v>
      </c>
      <c r="W8" s="648"/>
    </row>
    <row r="9" spans="15:23" ht="20.25">
      <c r="O9" s="54"/>
      <c r="P9" s="54"/>
      <c r="Q9" s="54"/>
      <c r="R9" s="1"/>
      <c r="S9" s="1"/>
      <c r="T9" s="113"/>
      <c r="U9" s="113"/>
      <c r="V9" s="796" t="s">
        <v>10</v>
      </c>
      <c r="W9" s="569"/>
    </row>
    <row r="10" spans="15:23" ht="20.25">
      <c r="O10" s="54"/>
      <c r="P10" s="54"/>
      <c r="Q10" s="54"/>
      <c r="R10" s="1"/>
      <c r="S10" s="1"/>
      <c r="T10" s="113"/>
      <c r="U10" s="113"/>
      <c r="V10" s="225"/>
      <c r="W10" s="114" t="s">
        <v>11</v>
      </c>
    </row>
    <row r="11" spans="15:23" ht="20.25">
      <c r="O11" s="54"/>
      <c r="P11" s="54"/>
      <c r="Q11" s="54"/>
      <c r="R11" s="1"/>
      <c r="S11" s="1"/>
      <c r="T11" s="113"/>
      <c r="U11" s="113"/>
      <c r="V11" s="225"/>
      <c r="W11" s="114"/>
    </row>
    <row r="12" spans="1:23" ht="20.25">
      <c r="A12" s="797" t="str">
        <f>'приложение 2.2 2016-2017 ген'!A12:W12</f>
        <v>Краткое описание инвестиционной программы</v>
      </c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</row>
    <row r="13" spans="1:23" ht="20.25">
      <c r="A13" s="797" t="s">
        <v>539</v>
      </c>
      <c r="B13" s="798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</row>
    <row r="14" spans="1:23" ht="20.25">
      <c r="A14" s="25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ht="16.5" thickBot="1">
      <c r="W15" s="426" t="s">
        <v>306</v>
      </c>
    </row>
    <row r="16" spans="1:27" s="53" customFormat="1" ht="73.5" customHeight="1">
      <c r="A16" s="640" t="s">
        <v>67</v>
      </c>
      <c r="B16" s="634" t="s">
        <v>68</v>
      </c>
      <c r="C16" s="634" t="s">
        <v>69</v>
      </c>
      <c r="D16" s="634" t="s">
        <v>70</v>
      </c>
      <c r="E16" s="805" t="s">
        <v>71</v>
      </c>
      <c r="F16" s="806"/>
      <c r="G16" s="642"/>
      <c r="H16" s="807" t="s">
        <v>72</v>
      </c>
      <c r="I16" s="634" t="s">
        <v>73</v>
      </c>
      <c r="J16" s="634"/>
      <c r="K16" s="634" t="s">
        <v>237</v>
      </c>
      <c r="L16" s="634"/>
      <c r="M16" s="634"/>
      <c r="N16" s="634"/>
      <c r="O16" s="634" t="s">
        <v>74</v>
      </c>
      <c r="P16" s="634" t="s">
        <v>75</v>
      </c>
      <c r="Q16" s="634" t="s">
        <v>5</v>
      </c>
      <c r="R16" s="634"/>
      <c r="S16" s="634" t="s">
        <v>551</v>
      </c>
      <c r="T16" s="634"/>
      <c r="U16" s="644" t="s">
        <v>76</v>
      </c>
      <c r="V16" s="644"/>
      <c r="W16" s="645"/>
      <c r="X16" s="642" t="s">
        <v>77</v>
      </c>
      <c r="Y16" s="634"/>
      <c r="Z16" s="634"/>
      <c r="AA16" s="643"/>
    </row>
    <row r="17" spans="1:27" s="53" customFormat="1" ht="39.75" customHeight="1">
      <c r="A17" s="641"/>
      <c r="B17" s="592"/>
      <c r="C17" s="592"/>
      <c r="D17" s="592"/>
      <c r="E17" s="592" t="s">
        <v>78</v>
      </c>
      <c r="F17" s="592" t="s">
        <v>79</v>
      </c>
      <c r="G17" s="592" t="s">
        <v>297</v>
      </c>
      <c r="H17" s="808"/>
      <c r="I17" s="592" t="s">
        <v>81</v>
      </c>
      <c r="J17" s="592" t="s">
        <v>82</v>
      </c>
      <c r="K17" s="592" t="s">
        <v>83</v>
      </c>
      <c r="L17" s="592" t="s">
        <v>84</v>
      </c>
      <c r="M17" s="592" t="s">
        <v>85</v>
      </c>
      <c r="N17" s="592" t="s">
        <v>86</v>
      </c>
      <c r="O17" s="592"/>
      <c r="P17" s="592"/>
      <c r="Q17" s="592" t="s">
        <v>236</v>
      </c>
      <c r="R17" s="592" t="s">
        <v>87</v>
      </c>
      <c r="S17" s="592" t="s">
        <v>88</v>
      </c>
      <c r="T17" s="592" t="s">
        <v>87</v>
      </c>
      <c r="U17" s="592" t="s">
        <v>89</v>
      </c>
      <c r="V17" s="592" t="s">
        <v>90</v>
      </c>
      <c r="W17" s="637" t="s">
        <v>91</v>
      </c>
      <c r="X17" s="598" t="s">
        <v>92</v>
      </c>
      <c r="Y17" s="592"/>
      <c r="Z17" s="592" t="s">
        <v>93</v>
      </c>
      <c r="AA17" s="637"/>
    </row>
    <row r="18" spans="1:27" ht="69" customHeight="1">
      <c r="A18" s="641"/>
      <c r="B18" s="592"/>
      <c r="C18" s="592"/>
      <c r="D18" s="592"/>
      <c r="E18" s="592"/>
      <c r="F18" s="592"/>
      <c r="G18" s="592"/>
      <c r="H18" s="809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637"/>
      <c r="X18" s="180" t="s">
        <v>94</v>
      </c>
      <c r="Y18" s="56" t="s">
        <v>95</v>
      </c>
      <c r="Z18" s="58" t="s">
        <v>96</v>
      </c>
      <c r="AA18" s="57" t="s">
        <v>97</v>
      </c>
    </row>
    <row r="19" spans="1:27" ht="63" customHeight="1">
      <c r="A19" s="804" t="str">
        <f>'приложение 1.1 2016-2017 тр'!B20</f>
        <v>Откорректировано транзит, всего</v>
      </c>
      <c r="B19" s="690"/>
      <c r="C19" s="259"/>
      <c r="D19" s="289"/>
      <c r="E19" s="303"/>
      <c r="F19" s="303"/>
      <c r="G19" s="303"/>
      <c r="H19" s="303"/>
      <c r="I19" s="291"/>
      <c r="J19" s="291"/>
      <c r="K19" s="303"/>
      <c r="L19" s="303"/>
      <c r="M19" s="303"/>
      <c r="N19" s="303"/>
      <c r="O19" s="303"/>
      <c r="P19" s="303"/>
      <c r="Q19" s="260">
        <f>SUM(Q20:Q29)+Q30+Q31+Q32</f>
        <v>130748.01018999999</v>
      </c>
      <c r="R19" s="303"/>
      <c r="S19" s="303"/>
      <c r="T19" s="303"/>
      <c r="U19" s="60"/>
      <c r="V19" s="117"/>
      <c r="W19" s="313" t="s">
        <v>277</v>
      </c>
      <c r="X19" s="197"/>
      <c r="Y19" s="116"/>
      <c r="Z19" s="116"/>
      <c r="AA19" s="118"/>
    </row>
    <row r="20" spans="1:27" ht="63">
      <c r="A20" s="257">
        <v>1</v>
      </c>
      <c r="B20" s="19" t="s">
        <v>369</v>
      </c>
      <c r="C20" s="60" t="s">
        <v>0</v>
      </c>
      <c r="D20" s="163" t="s">
        <v>1</v>
      </c>
      <c r="E20" s="117" t="s">
        <v>370</v>
      </c>
      <c r="F20" s="117"/>
      <c r="G20" s="117"/>
      <c r="H20" s="117"/>
      <c r="I20" s="60" t="s">
        <v>437</v>
      </c>
      <c r="J20" s="60" t="s">
        <v>491</v>
      </c>
      <c r="K20" s="378" t="s">
        <v>326</v>
      </c>
      <c r="L20" s="378" t="s">
        <v>318</v>
      </c>
      <c r="M20" s="378" t="s">
        <v>318</v>
      </c>
      <c r="N20" s="378" t="s">
        <v>318</v>
      </c>
      <c r="O20" s="117"/>
      <c r="P20" s="117"/>
      <c r="Q20" s="205">
        <f>SUM('приложение 1.1 2016-2017 тр'!G23:G27)</f>
        <v>28874.74212</v>
      </c>
      <c r="R20" s="117"/>
      <c r="S20" s="117"/>
      <c r="T20" s="117"/>
      <c r="U20" s="799" t="s">
        <v>298</v>
      </c>
      <c r="V20" s="117"/>
      <c r="W20" s="276"/>
      <c r="X20" s="197"/>
      <c r="Y20" s="116"/>
      <c r="Z20" s="116"/>
      <c r="AA20" s="118"/>
    </row>
    <row r="21" spans="1:27" ht="48.75" customHeight="1">
      <c r="A21" s="257">
        <f>A20+1</f>
        <v>2</v>
      </c>
      <c r="B21" s="19" t="str">
        <f>'приложение 1.1 2016-2017 тр'!B28</f>
        <v>Строительство КТПН</v>
      </c>
      <c r="C21" s="60" t="s">
        <v>0</v>
      </c>
      <c r="D21" s="163" t="s">
        <v>1</v>
      </c>
      <c r="E21" s="117" t="str">
        <f>'приложение 1.2 2013-2017 тр'!J28</f>
        <v>0,63 МВА</v>
      </c>
      <c r="F21" s="117"/>
      <c r="G21" s="117"/>
      <c r="H21" s="117"/>
      <c r="I21" s="60">
        <f>'приложение 1.1 2016-2017 тр'!E28</f>
        <v>2013</v>
      </c>
      <c r="J21" s="60" t="str">
        <f>'приложение 1.2 2013-2017 тр'!G28</f>
        <v>2015-2016</v>
      </c>
      <c r="K21" s="378" t="s">
        <v>326</v>
      </c>
      <c r="L21" s="378" t="s">
        <v>318</v>
      </c>
      <c r="M21" s="378" t="s">
        <v>326</v>
      </c>
      <c r="N21" s="378" t="s">
        <v>326</v>
      </c>
      <c r="O21" s="117"/>
      <c r="P21" s="117"/>
      <c r="Q21" s="205">
        <f>'приложение 1.1 2016-2017 тр'!G28</f>
        <v>5384.99963</v>
      </c>
      <c r="R21" s="117"/>
      <c r="S21" s="117"/>
      <c r="T21" s="117"/>
      <c r="U21" s="800"/>
      <c r="V21" s="117"/>
      <c r="W21" s="198"/>
      <c r="X21" s="197"/>
      <c r="Y21" s="116"/>
      <c r="Z21" s="116"/>
      <c r="AA21" s="118"/>
    </row>
    <row r="22" spans="1:27" ht="51" customHeight="1">
      <c r="A22" s="257">
        <f>A21+1</f>
        <v>3</v>
      </c>
      <c r="B22" s="19" t="str">
        <f>'приложение 1.2 2013-2017 тр'!B29</f>
        <v>Реконструкция 1 секции ЗРУ-6 кВ, РУСН-0.4 кВ</v>
      </c>
      <c r="C22" s="60" t="s">
        <v>0</v>
      </c>
      <c r="D22" s="163" t="s">
        <v>1</v>
      </c>
      <c r="E22" s="117"/>
      <c r="F22" s="117"/>
      <c r="G22" s="117"/>
      <c r="H22" s="117"/>
      <c r="I22" s="117">
        <f>'приложение 1.1 2016-2017 тр'!E29</f>
        <v>2013</v>
      </c>
      <c r="J22" s="117" t="str">
        <f>'приложение 1.2 2013-2017 тр'!G29</f>
        <v>2015-2016</v>
      </c>
      <c r="K22" s="378" t="s">
        <v>326</v>
      </c>
      <c r="L22" s="378" t="s">
        <v>318</v>
      </c>
      <c r="M22" s="378" t="s">
        <v>318</v>
      </c>
      <c r="N22" s="378" t="s">
        <v>318</v>
      </c>
      <c r="O22" s="117"/>
      <c r="P22" s="117"/>
      <c r="Q22" s="217">
        <f>'приложение 1.1 2016-2017 тр'!G29</f>
        <v>34468.92443</v>
      </c>
      <c r="R22" s="117"/>
      <c r="S22" s="117"/>
      <c r="T22" s="117"/>
      <c r="U22" s="799" t="s">
        <v>304</v>
      </c>
      <c r="V22" s="117"/>
      <c r="W22" s="198"/>
      <c r="X22" s="197"/>
      <c r="Y22" s="116"/>
      <c r="Z22" s="116"/>
      <c r="AA22" s="118"/>
    </row>
    <row r="23" spans="1:27" ht="44.25" customHeight="1">
      <c r="A23" s="257">
        <f aca="true" t="shared" si="0" ref="A23:A31">A22+1</f>
        <v>4</v>
      </c>
      <c r="B23" s="19" t="str">
        <f>'приложение 1.1 2016-2017 тр'!B30</f>
        <v>Реконструкция 2 секции ЗРУ-6 кВ</v>
      </c>
      <c r="C23" s="60" t="s">
        <v>0</v>
      </c>
      <c r="D23" s="163" t="s">
        <v>1</v>
      </c>
      <c r="E23" s="117"/>
      <c r="F23" s="117"/>
      <c r="G23" s="117"/>
      <c r="H23" s="117"/>
      <c r="I23" s="117">
        <f>'приложение 1.1 2016-2017 тр'!E30</f>
        <v>2016</v>
      </c>
      <c r="J23" s="117" t="str">
        <f>'приложение 1.2 2013-2017 тр'!G30</f>
        <v>2016-2017</v>
      </c>
      <c r="K23" s="117"/>
      <c r="L23" s="378" t="s">
        <v>318</v>
      </c>
      <c r="M23" s="378" t="s">
        <v>318</v>
      </c>
      <c r="N23" s="378" t="s">
        <v>318</v>
      </c>
      <c r="O23" s="117"/>
      <c r="P23" s="117"/>
      <c r="Q23" s="217">
        <f>'приложение 1.1 2016-2017 тр'!G30</f>
        <v>15582.037</v>
      </c>
      <c r="R23" s="117"/>
      <c r="S23" s="117"/>
      <c r="T23" s="117"/>
      <c r="U23" s="803"/>
      <c r="V23" s="117"/>
      <c r="W23" s="198"/>
      <c r="X23" s="197"/>
      <c r="Y23" s="116"/>
      <c r="Z23" s="116"/>
      <c r="AA23" s="118"/>
    </row>
    <row r="24" spans="1:27" ht="60">
      <c r="A24" s="257">
        <f t="shared" si="0"/>
        <v>5</v>
      </c>
      <c r="B24" s="19" t="str">
        <f>'приложение 1.1 2016-2017 тр'!B31</f>
        <v>Реконструкция РП - 6 кВ </v>
      </c>
      <c r="C24" s="60" t="s">
        <v>0</v>
      </c>
      <c r="D24" s="163" t="s">
        <v>1</v>
      </c>
      <c r="E24" s="117"/>
      <c r="F24" s="117"/>
      <c r="G24" s="117"/>
      <c r="H24" s="117"/>
      <c r="I24" s="117">
        <f>'приложение 1.1 2016-2017 тр'!E31</f>
        <v>2015</v>
      </c>
      <c r="J24" s="117" t="str">
        <f>'приложение 1.2 2013-2017 тр'!G31</f>
        <v>2016-2018</v>
      </c>
      <c r="K24" s="117"/>
      <c r="L24" s="378" t="s">
        <v>318</v>
      </c>
      <c r="M24" s="378" t="s">
        <v>318</v>
      </c>
      <c r="N24" s="378" t="s">
        <v>318</v>
      </c>
      <c r="O24" s="117"/>
      <c r="P24" s="117"/>
      <c r="Q24" s="217">
        <f>'приложение 1.1 2016-2017 тр'!G31</f>
        <v>15584.94391</v>
      </c>
      <c r="R24" s="117"/>
      <c r="S24" s="217">
        <v>14574</v>
      </c>
      <c r="T24" s="117"/>
      <c r="U24" s="800"/>
      <c r="V24" s="117"/>
      <c r="W24" s="198"/>
      <c r="X24" s="197"/>
      <c r="Y24" s="116"/>
      <c r="Z24" s="116"/>
      <c r="AA24" s="118"/>
    </row>
    <row r="25" spans="1:27" ht="54.75" customHeight="1">
      <c r="A25" s="257">
        <f t="shared" si="0"/>
        <v>6</v>
      </c>
      <c r="B25" s="19" t="str">
        <f>'приложение 1.1 2016-2017 тр'!B33</f>
        <v>Прокладка оптоволоконного кабеля АСУТП</v>
      </c>
      <c r="C25" s="60" t="s">
        <v>0</v>
      </c>
      <c r="D25" s="163" t="s">
        <v>1</v>
      </c>
      <c r="E25" s="117"/>
      <c r="F25" s="117"/>
      <c r="G25" s="117">
        <v>2.5</v>
      </c>
      <c r="H25" s="117"/>
      <c r="I25" s="117"/>
      <c r="J25" s="117"/>
      <c r="K25" s="117"/>
      <c r="L25" s="378" t="s">
        <v>318</v>
      </c>
      <c r="M25" s="378" t="s">
        <v>318</v>
      </c>
      <c r="N25" s="378" t="s">
        <v>318</v>
      </c>
      <c r="O25" s="117"/>
      <c r="P25" s="117"/>
      <c r="Q25" s="217">
        <f>'приложение 1.1 2016-2017 тр'!G33</f>
        <v>0</v>
      </c>
      <c r="R25" s="117"/>
      <c r="S25" s="117"/>
      <c r="T25" s="117"/>
      <c r="U25" s="160" t="s">
        <v>346</v>
      </c>
      <c r="V25" s="117"/>
      <c r="W25" s="198"/>
      <c r="X25" s="197"/>
      <c r="Y25" s="116"/>
      <c r="Z25" s="116"/>
      <c r="AA25" s="118"/>
    </row>
    <row r="26" spans="1:27" ht="46.5" customHeight="1">
      <c r="A26" s="257">
        <f t="shared" si="0"/>
        <v>7</v>
      </c>
      <c r="B26" s="19" t="str">
        <f>'приложение 1.1 2016-2017 тр'!B37</f>
        <v>Реконструкция ВЛ - 6 кВ</v>
      </c>
      <c r="C26" s="60" t="s">
        <v>0</v>
      </c>
      <c r="D26" s="163" t="s">
        <v>1</v>
      </c>
      <c r="E26" s="117"/>
      <c r="F26" s="117"/>
      <c r="G26" s="117">
        <v>2.5</v>
      </c>
      <c r="H26" s="117"/>
      <c r="I26" s="117">
        <f>'приложение 1.1 2016-2017 тр'!E37</f>
        <v>2013</v>
      </c>
      <c r="J26" s="117">
        <f>'приложение 1.2 2013-2017 тр'!K37</f>
        <v>2016</v>
      </c>
      <c r="K26" s="378" t="s">
        <v>326</v>
      </c>
      <c r="L26" s="378" t="s">
        <v>318</v>
      </c>
      <c r="M26" s="378" t="s">
        <v>341</v>
      </c>
      <c r="N26" s="378" t="s">
        <v>326</v>
      </c>
      <c r="O26" s="117"/>
      <c r="P26" s="117"/>
      <c r="Q26" s="217">
        <f>'приложение 1.1 2016-2017 тр'!G37</f>
        <v>6378.1869</v>
      </c>
      <c r="R26" s="117"/>
      <c r="S26" s="117"/>
      <c r="T26" s="117"/>
      <c r="U26" s="801" t="s">
        <v>345</v>
      </c>
      <c r="V26" s="117"/>
      <c r="W26" s="198"/>
      <c r="X26" s="197"/>
      <c r="Y26" s="116"/>
      <c r="Z26" s="116"/>
      <c r="AA26" s="118"/>
    </row>
    <row r="27" spans="1:27" ht="47.25" customHeight="1">
      <c r="A27" s="257">
        <f t="shared" si="0"/>
        <v>8</v>
      </c>
      <c r="B27" s="19" t="str">
        <f>'приложение 1.1 2016-2017 тр'!B38</f>
        <v>Реконструкция ВЛ - 6 кВ (2 этап)</v>
      </c>
      <c r="C27" s="60" t="s">
        <v>0</v>
      </c>
      <c r="D27" s="163" t="s">
        <v>1</v>
      </c>
      <c r="E27" s="117"/>
      <c r="F27" s="117"/>
      <c r="G27" s="117">
        <v>2.5</v>
      </c>
      <c r="H27" s="117"/>
      <c r="I27" s="117">
        <f>'приложение 1.1 2016-2017 тр'!E38</f>
        <v>2016</v>
      </c>
      <c r="J27" s="117">
        <f>'приложение 1.2 2013-2017 тр'!K38</f>
        <v>2016</v>
      </c>
      <c r="K27" s="117"/>
      <c r="L27" s="378" t="s">
        <v>318</v>
      </c>
      <c r="M27" s="378"/>
      <c r="N27" s="378"/>
      <c r="O27" s="117"/>
      <c r="P27" s="117"/>
      <c r="Q27" s="217">
        <f>'приложение 1.1 2016-2017 тр'!G38</f>
        <v>936.85</v>
      </c>
      <c r="R27" s="117"/>
      <c r="S27" s="117"/>
      <c r="T27" s="117"/>
      <c r="U27" s="802"/>
      <c r="V27" s="117"/>
      <c r="W27" s="198"/>
      <c r="X27" s="197"/>
      <c r="Y27" s="116"/>
      <c r="Z27" s="116"/>
      <c r="AA27" s="118"/>
    </row>
    <row r="28" spans="1:27" ht="60">
      <c r="A28" s="257">
        <f t="shared" si="0"/>
        <v>9</v>
      </c>
      <c r="B28" s="19" t="str">
        <f>'приложение 1.1 2016-2017 тр'!B39</f>
        <v>Закупка и установка счетчиков для системы АСКУЭ</v>
      </c>
      <c r="C28" s="60" t="s">
        <v>0</v>
      </c>
      <c r="D28" s="163" t="s">
        <v>1</v>
      </c>
      <c r="E28" s="117"/>
      <c r="F28" s="117"/>
      <c r="G28" s="117"/>
      <c r="H28" s="117"/>
      <c r="I28" s="117">
        <f>'приложение 1.1 2016-2017 тр'!E39</f>
        <v>2013</v>
      </c>
      <c r="J28" s="117"/>
      <c r="K28" s="117"/>
      <c r="L28" s="378" t="s">
        <v>318</v>
      </c>
      <c r="M28" s="378" t="s">
        <v>318</v>
      </c>
      <c r="N28" s="378" t="s">
        <v>318</v>
      </c>
      <c r="O28" s="117"/>
      <c r="P28" s="117"/>
      <c r="Q28" s="217">
        <f>'приложение 1.1 2016-2017 тр'!G39</f>
        <v>5767.215</v>
      </c>
      <c r="R28" s="117"/>
      <c r="S28" s="117"/>
      <c r="T28" s="117"/>
      <c r="U28" s="477" t="s">
        <v>344</v>
      </c>
      <c r="V28" s="117"/>
      <c r="W28" s="198"/>
      <c r="X28" s="197"/>
      <c r="Y28" s="116"/>
      <c r="Z28" s="116"/>
      <c r="AA28" s="118"/>
    </row>
    <row r="29" spans="1:27" ht="50.25" customHeight="1">
      <c r="A29" s="257">
        <f t="shared" si="0"/>
        <v>10</v>
      </c>
      <c r="B29" s="19" t="str">
        <f>'приложение 1.1 2016-2017 тр'!B40</f>
        <v>Строительство ТП</v>
      </c>
      <c r="C29" s="60" t="s">
        <v>0</v>
      </c>
      <c r="D29" s="163" t="s">
        <v>1</v>
      </c>
      <c r="E29" s="117" t="s">
        <v>343</v>
      </c>
      <c r="F29" s="117"/>
      <c r="G29" s="117"/>
      <c r="H29" s="117"/>
      <c r="I29" s="117">
        <f>'приложение 1.1 2016-2017 тр'!E40</f>
        <v>2014</v>
      </c>
      <c r="J29" s="117">
        <f>'приложение 1.2 2013-2017 тр'!G40</f>
        <v>2016</v>
      </c>
      <c r="K29" s="378" t="s">
        <v>326</v>
      </c>
      <c r="L29" s="378" t="s">
        <v>318</v>
      </c>
      <c r="M29" s="378" t="s">
        <v>341</v>
      </c>
      <c r="N29" s="378" t="s">
        <v>326</v>
      </c>
      <c r="O29" s="117"/>
      <c r="P29" s="117"/>
      <c r="Q29" s="217">
        <f>'приложение 1.1 2016-2017 тр'!G40</f>
        <v>16480.958</v>
      </c>
      <c r="R29" s="117"/>
      <c r="S29" s="117"/>
      <c r="T29" s="117"/>
      <c r="U29" s="314" t="s">
        <v>372</v>
      </c>
      <c r="V29" s="117"/>
      <c r="W29" s="198"/>
      <c r="X29" s="197"/>
      <c r="Y29" s="116"/>
      <c r="Z29" s="116"/>
      <c r="AA29" s="118"/>
    </row>
    <row r="30" spans="1:27" ht="54.75" customHeight="1">
      <c r="A30" s="257">
        <f t="shared" si="0"/>
        <v>11</v>
      </c>
      <c r="B30" s="19" t="str">
        <f>'приложение 1.1 2016-2017 тр'!B42</f>
        <v>Закупка  снегохода</v>
      </c>
      <c r="C30" s="60" t="s">
        <v>0</v>
      </c>
      <c r="D30" s="163" t="s">
        <v>1</v>
      </c>
      <c r="E30" s="117"/>
      <c r="F30" s="117"/>
      <c r="G30" s="117"/>
      <c r="H30" s="117"/>
      <c r="I30" s="117">
        <f>'приложение 1.1 2016-2017 тр'!E42</f>
        <v>2014</v>
      </c>
      <c r="J30" s="117">
        <f>'приложение 1.2 2013-2017 тр'!P42</f>
        <v>2014</v>
      </c>
      <c r="K30" s="117"/>
      <c r="L30" s="378" t="s">
        <v>318</v>
      </c>
      <c r="M30" s="378" t="s">
        <v>318</v>
      </c>
      <c r="N30" s="378" t="s">
        <v>318</v>
      </c>
      <c r="O30" s="117"/>
      <c r="P30" s="117"/>
      <c r="Q30" s="217">
        <f>'приложение 1.1 2016-2017 тр'!G42</f>
        <v>389</v>
      </c>
      <c r="R30" s="117"/>
      <c r="S30" s="117"/>
      <c r="T30" s="117"/>
      <c r="U30" s="117" t="s">
        <v>299</v>
      </c>
      <c r="V30" s="117"/>
      <c r="W30" s="198"/>
      <c r="X30" s="197"/>
      <c r="Y30" s="116"/>
      <c r="Z30" s="116"/>
      <c r="AA30" s="118"/>
    </row>
    <row r="31" spans="1:27" ht="60">
      <c r="A31" s="257">
        <f t="shared" si="0"/>
        <v>12</v>
      </c>
      <c r="B31" s="17" t="str">
        <f>'приложение 1.1 2016-2017 тр'!B43</f>
        <v>Перевод на электроотопление объектов п.Октябрьский</v>
      </c>
      <c r="C31" s="60" t="s">
        <v>0</v>
      </c>
      <c r="D31" s="163" t="s">
        <v>1</v>
      </c>
      <c r="E31" s="60"/>
      <c r="F31" s="60"/>
      <c r="G31" s="60"/>
      <c r="H31" s="60"/>
      <c r="I31" s="60">
        <f>'приложение 1.1 2016-2017 тр'!E43</f>
        <v>2014</v>
      </c>
      <c r="J31" s="60"/>
      <c r="K31" s="378" t="s">
        <v>326</v>
      </c>
      <c r="L31" s="378" t="s">
        <v>318</v>
      </c>
      <c r="M31" s="378" t="s">
        <v>318</v>
      </c>
      <c r="N31" s="378" t="s">
        <v>318</v>
      </c>
      <c r="O31" s="60"/>
      <c r="P31" s="60"/>
      <c r="Q31" s="205">
        <f>'приложение 1.1 2016-2017 тр'!G43</f>
        <v>132.3822</v>
      </c>
      <c r="R31" s="60"/>
      <c r="S31" s="60"/>
      <c r="T31" s="60"/>
      <c r="U31" s="34" t="s">
        <v>371</v>
      </c>
      <c r="V31" s="60"/>
      <c r="W31" s="295"/>
      <c r="X31" s="197"/>
      <c r="Y31" s="116"/>
      <c r="Z31" s="116"/>
      <c r="AA31" s="118"/>
    </row>
    <row r="32" spans="1:27" ht="84" customHeight="1" thickBot="1">
      <c r="A32" s="297">
        <f>A31+1</f>
        <v>13</v>
      </c>
      <c r="B32" s="187" t="str">
        <f>'приложение 1.1 2016-2017 тр'!B44</f>
        <v>Оборудование не входящее в сметные расчеты строительных работ и работ по реконструкции (косвенные расходы)</v>
      </c>
      <c r="C32" s="62" t="s">
        <v>0</v>
      </c>
      <c r="D32" s="442" t="s">
        <v>1</v>
      </c>
      <c r="E32" s="62"/>
      <c r="F32" s="62"/>
      <c r="G32" s="62"/>
      <c r="H32" s="62"/>
      <c r="I32" s="62"/>
      <c r="J32" s="62"/>
      <c r="K32" s="62"/>
      <c r="L32" s="379" t="s">
        <v>318</v>
      </c>
      <c r="M32" s="379" t="s">
        <v>318</v>
      </c>
      <c r="N32" s="379" t="s">
        <v>318</v>
      </c>
      <c r="O32" s="62"/>
      <c r="P32" s="62"/>
      <c r="Q32" s="356">
        <f>Q33+Q36+Q40+Q47</f>
        <v>767.771</v>
      </c>
      <c r="R32" s="62"/>
      <c r="S32" s="62"/>
      <c r="T32" s="62"/>
      <c r="U32" s="62" t="s">
        <v>299</v>
      </c>
      <c r="V32" s="62"/>
      <c r="W32" s="358"/>
      <c r="X32" s="184"/>
      <c r="Y32" s="184"/>
      <c r="Z32" s="184"/>
      <c r="AA32" s="184"/>
    </row>
    <row r="33" spans="1:27" ht="15.75" hidden="1">
      <c r="A33" s="491" t="s">
        <v>438</v>
      </c>
      <c r="B33" s="317" t="str">
        <f>'приложение 1.1 2016-2017 тр'!B45</f>
        <v>Приборы, в т.ч.:</v>
      </c>
      <c r="C33" s="474"/>
      <c r="D33" s="492"/>
      <c r="E33" s="474"/>
      <c r="F33" s="474"/>
      <c r="G33" s="474"/>
      <c r="H33" s="474"/>
      <c r="I33" s="474"/>
      <c r="J33" s="474"/>
      <c r="K33" s="474"/>
      <c r="L33" s="493"/>
      <c r="M33" s="493"/>
      <c r="N33" s="493"/>
      <c r="O33" s="474"/>
      <c r="P33" s="474"/>
      <c r="Q33" s="494">
        <f>Q34+Q35</f>
        <v>126.55</v>
      </c>
      <c r="R33" s="474"/>
      <c r="S33" s="474"/>
      <c r="T33" s="474"/>
      <c r="U33" s="474"/>
      <c r="V33" s="474"/>
      <c r="W33" s="475"/>
      <c r="X33" s="184"/>
      <c r="Y33" s="184"/>
      <c r="Z33" s="184"/>
      <c r="AA33" s="184"/>
    </row>
    <row r="34" spans="1:27" ht="31.5" hidden="1">
      <c r="A34" s="257" t="s">
        <v>440</v>
      </c>
      <c r="B34" s="17" t="str">
        <f>'приложение 1.1 2016-2017 тр'!B46</f>
        <v>Вольтамперфазометр ПАРМА ВАФ-А</v>
      </c>
      <c r="C34" s="60"/>
      <c r="D34" s="163"/>
      <c r="E34" s="60"/>
      <c r="F34" s="60"/>
      <c r="G34" s="60"/>
      <c r="H34" s="60"/>
      <c r="I34" s="60"/>
      <c r="J34" s="60"/>
      <c r="K34" s="60"/>
      <c r="L34" s="378"/>
      <c r="M34" s="378"/>
      <c r="N34" s="378"/>
      <c r="O34" s="60"/>
      <c r="P34" s="60"/>
      <c r="Q34" s="205">
        <f>'приложение 1.1 2016-2017 тр'!G46</f>
        <v>41</v>
      </c>
      <c r="R34" s="60"/>
      <c r="S34" s="60"/>
      <c r="T34" s="60"/>
      <c r="U34" s="60"/>
      <c r="V34" s="60"/>
      <c r="W34" s="295"/>
      <c r="X34" s="184"/>
      <c r="Y34" s="184"/>
      <c r="Z34" s="184"/>
      <c r="AA34" s="184"/>
    </row>
    <row r="35" spans="1:27" ht="47.25" hidden="1">
      <c r="A35" s="257" t="s">
        <v>441</v>
      </c>
      <c r="B35" s="17" t="str">
        <f>'приложение 1.1 2016-2017 тр'!B47</f>
        <v>Прибор для измерения показателей качества электрической энергии</v>
      </c>
      <c r="C35" s="60"/>
      <c r="D35" s="163"/>
      <c r="E35" s="60"/>
      <c r="F35" s="60"/>
      <c r="G35" s="60"/>
      <c r="H35" s="60"/>
      <c r="I35" s="60"/>
      <c r="J35" s="60"/>
      <c r="K35" s="60"/>
      <c r="L35" s="378"/>
      <c r="M35" s="378"/>
      <c r="N35" s="378"/>
      <c r="O35" s="60"/>
      <c r="P35" s="60"/>
      <c r="Q35" s="205">
        <f>'приложение 1.1 2016-2017 тр'!G47</f>
        <v>85.55</v>
      </c>
      <c r="R35" s="60"/>
      <c r="S35" s="60"/>
      <c r="T35" s="60"/>
      <c r="U35" s="60"/>
      <c r="V35" s="60"/>
      <c r="W35" s="295"/>
      <c r="X35" s="184"/>
      <c r="Y35" s="184"/>
      <c r="Z35" s="184"/>
      <c r="AA35" s="184"/>
    </row>
    <row r="36" spans="1:27" ht="47.25" hidden="1">
      <c r="A36" s="476" t="s">
        <v>439</v>
      </c>
      <c r="B36" s="6" t="str">
        <f>'приложение 1.1 2016-2017 тр'!B48</f>
        <v>Производственный и хозяйственный инвентарь, в т.ч.:</v>
      </c>
      <c r="C36" s="291"/>
      <c r="D36" s="488"/>
      <c r="E36" s="291"/>
      <c r="F36" s="291"/>
      <c r="G36" s="291"/>
      <c r="H36" s="291"/>
      <c r="I36" s="291"/>
      <c r="J36" s="291"/>
      <c r="K36" s="291"/>
      <c r="L36" s="489"/>
      <c r="M36" s="489"/>
      <c r="N36" s="489"/>
      <c r="O36" s="291"/>
      <c r="P36" s="291"/>
      <c r="Q36" s="260">
        <f>Q37+Q38+Q39</f>
        <v>110.358</v>
      </c>
      <c r="R36" s="291"/>
      <c r="S36" s="291"/>
      <c r="T36" s="291"/>
      <c r="U36" s="56"/>
      <c r="V36" s="291"/>
      <c r="W36" s="490"/>
      <c r="X36" s="184"/>
      <c r="Y36" s="184"/>
      <c r="Z36" s="184"/>
      <c r="AA36" s="184"/>
    </row>
    <row r="37" spans="1:27" ht="31.5" hidden="1">
      <c r="A37" s="257" t="s">
        <v>442</v>
      </c>
      <c r="B37" s="17" t="str">
        <f>'приложение 1.1 2016-2017 тр'!B49</f>
        <v>Комплект мебели для офиса "Энергосбыта"</v>
      </c>
      <c r="C37" s="60"/>
      <c r="D37" s="163"/>
      <c r="E37" s="60"/>
      <c r="F37" s="60"/>
      <c r="G37" s="60"/>
      <c r="H37" s="60"/>
      <c r="I37" s="60"/>
      <c r="J37" s="60"/>
      <c r="K37" s="60"/>
      <c r="L37" s="378"/>
      <c r="M37" s="378"/>
      <c r="N37" s="378"/>
      <c r="O37" s="60"/>
      <c r="P37" s="60"/>
      <c r="Q37" s="205">
        <f>'приложение 1.1 2016-2017 тр'!G49</f>
        <v>50.508</v>
      </c>
      <c r="R37" s="60"/>
      <c r="S37" s="60"/>
      <c r="T37" s="60"/>
      <c r="U37" s="34"/>
      <c r="V37" s="60"/>
      <c r="W37" s="295"/>
      <c r="X37" s="184"/>
      <c r="Y37" s="184"/>
      <c r="Z37" s="184"/>
      <c r="AA37" s="184"/>
    </row>
    <row r="38" spans="1:27" ht="15.75" hidden="1">
      <c r="A38" s="257" t="s">
        <v>443</v>
      </c>
      <c r="B38" s="17" t="str">
        <f>'приложение 1.1 2016-2017 тр'!B50</f>
        <v>Сейф FRS-75T KL</v>
      </c>
      <c r="C38" s="60"/>
      <c r="D38" s="163"/>
      <c r="E38" s="60"/>
      <c r="F38" s="60"/>
      <c r="G38" s="60"/>
      <c r="H38" s="60"/>
      <c r="I38" s="60"/>
      <c r="J38" s="60"/>
      <c r="K38" s="60"/>
      <c r="L38" s="378"/>
      <c r="M38" s="378"/>
      <c r="N38" s="378"/>
      <c r="O38" s="60"/>
      <c r="P38" s="60"/>
      <c r="Q38" s="205">
        <f>'приложение 1.1 2016-2017 тр'!G50</f>
        <v>31.05</v>
      </c>
      <c r="R38" s="60"/>
      <c r="S38" s="60"/>
      <c r="T38" s="60"/>
      <c r="U38" s="34"/>
      <c r="V38" s="60"/>
      <c r="W38" s="295"/>
      <c r="X38" s="184"/>
      <c r="Y38" s="184"/>
      <c r="Z38" s="184"/>
      <c r="AA38" s="184"/>
    </row>
    <row r="39" spans="1:27" ht="31.5" hidden="1">
      <c r="A39" s="257" t="s">
        <v>495</v>
      </c>
      <c r="B39" s="17" t="str">
        <f>'приложение 1.1 2016-2017 тр'!B51</f>
        <v>Кухня для офиса "Энергосбыта"</v>
      </c>
      <c r="C39" s="60"/>
      <c r="D39" s="163"/>
      <c r="E39" s="60"/>
      <c r="F39" s="60"/>
      <c r="G39" s="60"/>
      <c r="H39" s="60"/>
      <c r="I39" s="60"/>
      <c r="J39" s="60"/>
      <c r="K39" s="60"/>
      <c r="L39" s="378"/>
      <c r="M39" s="378"/>
      <c r="N39" s="378"/>
      <c r="O39" s="60"/>
      <c r="P39" s="60"/>
      <c r="Q39" s="205">
        <f>'приложение 1.1 2016-2017 тр'!G51</f>
        <v>28.8</v>
      </c>
      <c r="R39" s="60"/>
      <c r="S39" s="60"/>
      <c r="T39" s="60"/>
      <c r="U39" s="34"/>
      <c r="V39" s="60"/>
      <c r="W39" s="295"/>
      <c r="X39" s="184"/>
      <c r="Y39" s="184"/>
      <c r="Z39" s="184"/>
      <c r="AA39" s="184"/>
    </row>
    <row r="40" spans="1:27" ht="15.75" hidden="1">
      <c r="A40" s="476" t="s">
        <v>492</v>
      </c>
      <c r="B40" s="6" t="str">
        <f>'приложение 1.1 2016-2017 тр'!B52</f>
        <v>Оргтехника в т.ч.:</v>
      </c>
      <c r="C40" s="291"/>
      <c r="D40" s="488"/>
      <c r="E40" s="291"/>
      <c r="F40" s="291"/>
      <c r="G40" s="291"/>
      <c r="H40" s="291"/>
      <c r="I40" s="291"/>
      <c r="J40" s="291"/>
      <c r="K40" s="291"/>
      <c r="L40" s="489"/>
      <c r="M40" s="489"/>
      <c r="N40" s="489"/>
      <c r="O40" s="291"/>
      <c r="P40" s="291"/>
      <c r="Q40" s="260">
        <f>SUM(Q41:Q46)</f>
        <v>388.751</v>
      </c>
      <c r="R40" s="291"/>
      <c r="S40" s="291"/>
      <c r="T40" s="291"/>
      <c r="U40" s="56"/>
      <c r="V40" s="291"/>
      <c r="W40" s="490"/>
      <c r="X40" s="184"/>
      <c r="Y40" s="184"/>
      <c r="Z40" s="184"/>
      <c r="AA40" s="184"/>
    </row>
    <row r="41" spans="1:27" ht="15.75" hidden="1">
      <c r="A41" s="257" t="s">
        <v>494</v>
      </c>
      <c r="B41" s="17" t="str">
        <f>'приложение 1.1 2016-2017 тр'!B53</f>
        <v>Базовый блок Самсунг</v>
      </c>
      <c r="C41" s="60"/>
      <c r="D41" s="163"/>
      <c r="E41" s="60"/>
      <c r="F41" s="60"/>
      <c r="G41" s="60"/>
      <c r="H41" s="60"/>
      <c r="I41" s="60"/>
      <c r="J41" s="60"/>
      <c r="K41" s="60"/>
      <c r="L41" s="378"/>
      <c r="M41" s="378"/>
      <c r="N41" s="378"/>
      <c r="O41" s="60"/>
      <c r="P41" s="60"/>
      <c r="Q41" s="205">
        <f>'приложение 1.1 2016-2017 тр'!G53</f>
        <v>78.352</v>
      </c>
      <c r="R41" s="60"/>
      <c r="S41" s="60"/>
      <c r="T41" s="60"/>
      <c r="U41" s="34"/>
      <c r="V41" s="60"/>
      <c r="W41" s="295"/>
      <c r="X41" s="184"/>
      <c r="Y41" s="184"/>
      <c r="Z41" s="184"/>
      <c r="AA41" s="184"/>
    </row>
    <row r="42" spans="1:27" ht="31.5" hidden="1">
      <c r="A42" s="478" t="s">
        <v>493</v>
      </c>
      <c r="B42" s="17" t="str">
        <f>'приложение 1.1 2016-2017 тр'!B54</f>
        <v>Компьютер в комплекте ASUS B85</v>
      </c>
      <c r="C42" s="117"/>
      <c r="D42" s="160"/>
      <c r="E42" s="117"/>
      <c r="F42" s="117"/>
      <c r="G42" s="117"/>
      <c r="H42" s="117"/>
      <c r="I42" s="117"/>
      <c r="J42" s="117"/>
      <c r="K42" s="117"/>
      <c r="L42" s="479"/>
      <c r="M42" s="479"/>
      <c r="N42" s="479"/>
      <c r="O42" s="117"/>
      <c r="P42" s="117"/>
      <c r="Q42" s="205">
        <f>'приложение 1.1 2016-2017 тр'!G54</f>
        <v>64.9</v>
      </c>
      <c r="R42" s="117"/>
      <c r="S42" s="117"/>
      <c r="T42" s="117"/>
      <c r="U42" s="480"/>
      <c r="V42" s="117"/>
      <c r="W42" s="198"/>
      <c r="X42" s="184"/>
      <c r="Y42" s="184"/>
      <c r="Z42" s="184"/>
      <c r="AA42" s="184"/>
    </row>
    <row r="43" spans="1:27" ht="31.5" hidden="1">
      <c r="A43" s="478" t="s">
        <v>496</v>
      </c>
      <c r="B43" s="17" t="str">
        <f>'приложение 1.1 2016-2017 тр'!B55</f>
        <v>Компьютер в комплекте ASUS B85/i3/4Gb/500Gb</v>
      </c>
      <c r="C43" s="117"/>
      <c r="D43" s="160"/>
      <c r="E43" s="117"/>
      <c r="F43" s="117"/>
      <c r="G43" s="117"/>
      <c r="H43" s="117"/>
      <c r="I43" s="117"/>
      <c r="J43" s="117"/>
      <c r="K43" s="117"/>
      <c r="L43" s="479"/>
      <c r="M43" s="479"/>
      <c r="N43" s="479"/>
      <c r="O43" s="117"/>
      <c r="P43" s="117"/>
      <c r="Q43" s="205">
        <f>'приложение 1.1 2016-2017 тр'!G55</f>
        <v>74.104</v>
      </c>
      <c r="R43" s="117"/>
      <c r="S43" s="117"/>
      <c r="T43" s="117"/>
      <c r="U43" s="480"/>
      <c r="V43" s="117"/>
      <c r="W43" s="198"/>
      <c r="X43" s="184"/>
      <c r="Y43" s="184"/>
      <c r="Z43" s="184"/>
      <c r="AA43" s="184"/>
    </row>
    <row r="44" spans="1:27" ht="15.75" hidden="1">
      <c r="A44" s="478" t="s">
        <v>497</v>
      </c>
      <c r="B44" s="17" t="str">
        <f>'приложение 1.1 2016-2017 тр'!B56</f>
        <v>Системный блок ASUS</v>
      </c>
      <c r="C44" s="117"/>
      <c r="D44" s="160"/>
      <c r="E44" s="117"/>
      <c r="F44" s="117"/>
      <c r="G44" s="117"/>
      <c r="H44" s="117"/>
      <c r="I44" s="117"/>
      <c r="J44" s="117"/>
      <c r="K44" s="117"/>
      <c r="L44" s="479"/>
      <c r="M44" s="479"/>
      <c r="N44" s="479"/>
      <c r="O44" s="117"/>
      <c r="P44" s="117"/>
      <c r="Q44" s="205">
        <f>'приложение 1.1 2016-2017 тр'!G56</f>
        <v>61.183</v>
      </c>
      <c r="R44" s="117"/>
      <c r="S44" s="117"/>
      <c r="T44" s="117"/>
      <c r="U44" s="480"/>
      <c r="V44" s="117"/>
      <c r="W44" s="198"/>
      <c r="X44" s="184"/>
      <c r="Y44" s="184"/>
      <c r="Z44" s="184"/>
      <c r="AA44" s="184"/>
    </row>
    <row r="45" spans="1:27" ht="15.75" hidden="1">
      <c r="A45" s="478" t="s">
        <v>498</v>
      </c>
      <c r="B45" s="17" t="str">
        <f>'приложение 1.1 2016-2017 тр'!B57</f>
        <v>Системный блок ASUS</v>
      </c>
      <c r="C45" s="117"/>
      <c r="D45" s="160"/>
      <c r="E45" s="117"/>
      <c r="F45" s="117"/>
      <c r="G45" s="117"/>
      <c r="H45" s="117"/>
      <c r="I45" s="117"/>
      <c r="J45" s="117"/>
      <c r="K45" s="117"/>
      <c r="L45" s="479"/>
      <c r="M45" s="479"/>
      <c r="N45" s="479"/>
      <c r="O45" s="117"/>
      <c r="P45" s="117"/>
      <c r="Q45" s="205">
        <f>'приложение 1.1 2016-2017 тр'!G57</f>
        <v>61.183</v>
      </c>
      <c r="R45" s="117"/>
      <c r="S45" s="117"/>
      <c r="T45" s="117"/>
      <c r="U45" s="480"/>
      <c r="V45" s="117"/>
      <c r="W45" s="198"/>
      <c r="X45" s="184"/>
      <c r="Y45" s="184"/>
      <c r="Z45" s="184"/>
      <c r="AA45" s="184"/>
    </row>
    <row r="46" spans="1:27" ht="15.75" hidden="1">
      <c r="A46" s="478" t="s">
        <v>499</v>
      </c>
      <c r="B46" s="17" t="str">
        <f>'приложение 1.1 2016-2017 тр'!B58</f>
        <v>Ноутбук HP Probook</v>
      </c>
      <c r="C46" s="117"/>
      <c r="D46" s="160"/>
      <c r="E46" s="117"/>
      <c r="F46" s="117"/>
      <c r="G46" s="117"/>
      <c r="H46" s="117"/>
      <c r="I46" s="117"/>
      <c r="J46" s="117"/>
      <c r="K46" s="117"/>
      <c r="L46" s="479"/>
      <c r="M46" s="479"/>
      <c r="N46" s="479"/>
      <c r="O46" s="117"/>
      <c r="P46" s="117"/>
      <c r="Q46" s="205">
        <f>'приложение 1.1 2016-2017 тр'!G58</f>
        <v>49.029</v>
      </c>
      <c r="R46" s="117"/>
      <c r="S46" s="117"/>
      <c r="T46" s="117"/>
      <c r="U46" s="480"/>
      <c r="V46" s="117"/>
      <c r="W46" s="198"/>
      <c r="X46" s="184"/>
      <c r="Y46" s="184"/>
      <c r="Z46" s="184"/>
      <c r="AA46" s="184"/>
    </row>
    <row r="47" spans="1:27" ht="15.75" hidden="1">
      <c r="A47" s="481" t="s">
        <v>500</v>
      </c>
      <c r="B47" s="6" t="str">
        <f>'приложение 1.1 2016-2017 тр'!B59</f>
        <v>Сигнализация, в т.ч.:</v>
      </c>
      <c r="C47" s="482"/>
      <c r="D47" s="483"/>
      <c r="E47" s="482"/>
      <c r="F47" s="482"/>
      <c r="G47" s="482"/>
      <c r="H47" s="482"/>
      <c r="I47" s="482"/>
      <c r="J47" s="482"/>
      <c r="K47" s="482"/>
      <c r="L47" s="484"/>
      <c r="M47" s="484"/>
      <c r="N47" s="484"/>
      <c r="O47" s="482"/>
      <c r="P47" s="482"/>
      <c r="Q47" s="485">
        <f>Q48</f>
        <v>142.112</v>
      </c>
      <c r="R47" s="482"/>
      <c r="S47" s="482"/>
      <c r="T47" s="482"/>
      <c r="U47" s="486"/>
      <c r="V47" s="482"/>
      <c r="W47" s="487"/>
      <c r="X47" s="184"/>
      <c r="Y47" s="184"/>
      <c r="Z47" s="184"/>
      <c r="AA47" s="184"/>
    </row>
    <row r="48" spans="1:27" ht="32.25" hidden="1" thickBot="1">
      <c r="A48" s="297" t="s">
        <v>501</v>
      </c>
      <c r="B48" s="187" t="str">
        <f>'приложение 1.1 2016-2017 тр'!B60</f>
        <v>Охранно-пожарная сигнализация</v>
      </c>
      <c r="C48" s="62"/>
      <c r="D48" s="442"/>
      <c r="E48" s="62"/>
      <c r="F48" s="62"/>
      <c r="G48" s="62"/>
      <c r="H48" s="62"/>
      <c r="I48" s="62"/>
      <c r="J48" s="62"/>
      <c r="K48" s="62"/>
      <c r="L48" s="379"/>
      <c r="M48" s="379"/>
      <c r="N48" s="379"/>
      <c r="O48" s="62"/>
      <c r="P48" s="62"/>
      <c r="Q48" s="356">
        <f>'приложение 1.1 2016-2017 тр'!G60</f>
        <v>142.112</v>
      </c>
      <c r="R48" s="62"/>
      <c r="S48" s="62"/>
      <c r="T48" s="62"/>
      <c r="U48" s="380"/>
      <c r="V48" s="62"/>
      <c r="W48" s="358"/>
      <c r="X48" s="184"/>
      <c r="Y48" s="184"/>
      <c r="Z48" s="184"/>
      <c r="AA48" s="184"/>
    </row>
    <row r="50" spans="2:27" ht="76.5" customHeight="1" hidden="1">
      <c r="B50" s="636" t="s">
        <v>98</v>
      </c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</row>
    <row r="51" ht="15" hidden="1">
      <c r="B51" s="53" t="s">
        <v>99</v>
      </c>
    </row>
    <row r="52" ht="15" hidden="1">
      <c r="B52" s="53" t="s">
        <v>100</v>
      </c>
    </row>
    <row r="53" ht="15" hidden="1">
      <c r="B53" s="53" t="s">
        <v>101</v>
      </c>
    </row>
    <row r="56" spans="1:23" ht="18.75">
      <c r="A56" s="1"/>
      <c r="B56" s="607" t="s">
        <v>230</v>
      </c>
      <c r="C56" s="607"/>
      <c r="D56" s="607"/>
      <c r="E56" s="607"/>
      <c r="F56" s="607"/>
      <c r="G56" s="607"/>
      <c r="H56" s="607"/>
      <c r="I56" s="607"/>
      <c r="J56" s="607"/>
      <c r="K56" s="222"/>
      <c r="N56" s="222"/>
      <c r="O56" s="222"/>
      <c r="P56" s="222"/>
      <c r="Q56" s="222"/>
      <c r="R56" s="222"/>
      <c r="S56" s="604" t="s">
        <v>231</v>
      </c>
      <c r="T56" s="604"/>
      <c r="W56" s="222"/>
    </row>
  </sheetData>
  <sheetProtection/>
  <mergeCells count="45">
    <mergeCell ref="B56:J56"/>
    <mergeCell ref="A3:C3"/>
    <mergeCell ref="K16:N16"/>
    <mergeCell ref="E16:G16"/>
    <mergeCell ref="H16:H18"/>
    <mergeCell ref="J17:J18"/>
    <mergeCell ref="A16:A18"/>
    <mergeCell ref="N17:N18"/>
    <mergeCell ref="U22:U24"/>
    <mergeCell ref="I17:I18"/>
    <mergeCell ref="B16:B18"/>
    <mergeCell ref="A19:B19"/>
    <mergeCell ref="A13:W13"/>
    <mergeCell ref="S17:S18"/>
    <mergeCell ref="S16:T16"/>
    <mergeCell ref="W17:W18"/>
    <mergeCell ref="R17:R18"/>
    <mergeCell ref="Q17:Q18"/>
    <mergeCell ref="V8:W8"/>
    <mergeCell ref="I16:J16"/>
    <mergeCell ref="S56:T56"/>
    <mergeCell ref="U20:U21"/>
    <mergeCell ref="U26:U27"/>
    <mergeCell ref="B50:AA50"/>
    <mergeCell ref="O16:O18"/>
    <mergeCell ref="U16:W16"/>
    <mergeCell ref="Q16:R16"/>
    <mergeCell ref="F17:F18"/>
    <mergeCell ref="M17:M18"/>
    <mergeCell ref="T17:T18"/>
    <mergeCell ref="V6:W6"/>
    <mergeCell ref="V9:W9"/>
    <mergeCell ref="A12:W12"/>
    <mergeCell ref="U17:U18"/>
    <mergeCell ref="K17:K18"/>
    <mergeCell ref="P16:P18"/>
    <mergeCell ref="Z17:AA17"/>
    <mergeCell ref="E17:E18"/>
    <mergeCell ref="L17:L18"/>
    <mergeCell ref="D16:D18"/>
    <mergeCell ref="C16:C18"/>
    <mergeCell ref="G17:G18"/>
    <mergeCell ref="X16:AA16"/>
    <mergeCell ref="X17:Y17"/>
    <mergeCell ref="V17:V18"/>
  </mergeCells>
  <printOptions/>
  <pageMargins left="0.2362204724409449" right="0.15748031496062992" top="0.23" bottom="0.17" header="0.21" footer="0.2"/>
  <pageSetup fitToHeight="0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zoomScaleSheetLayoutView="70" zoomScalePageLayoutView="0" workbookViewId="0" topLeftCell="A13">
      <selection activeCell="C36" sqref="C36"/>
    </sheetView>
  </sheetViews>
  <sheetFormatPr defaultColWidth="9.00390625" defaultRowHeight="15.75"/>
  <cols>
    <col min="1" max="1" width="5.25390625" style="2" customWidth="1"/>
    <col min="2" max="2" width="59.00390625" style="2" customWidth="1"/>
    <col min="3" max="3" width="21.875" style="2" customWidth="1"/>
    <col min="4" max="4" width="22.50390625" style="2" customWidth="1"/>
    <col min="5" max="8" width="9.00390625" style="2" customWidth="1"/>
    <col min="9" max="9" width="13.00390625" style="2" customWidth="1"/>
    <col min="10" max="16384" width="9.00390625" style="2" customWidth="1"/>
  </cols>
  <sheetData>
    <row r="1" spans="3:4" ht="18.75">
      <c r="C1" s="672" t="s">
        <v>541</v>
      </c>
      <c r="D1" s="673"/>
    </row>
    <row r="2" ht="18.75">
      <c r="D2" s="199" t="s">
        <v>7</v>
      </c>
    </row>
    <row r="3" spans="1:8" ht="13.5" customHeight="1">
      <c r="A3" s="218"/>
      <c r="B3" s="218"/>
      <c r="C3" s="218"/>
      <c r="D3" s="218"/>
      <c r="E3" s="64"/>
      <c r="F3" s="64"/>
      <c r="G3" s="64"/>
      <c r="H3" s="64"/>
    </row>
    <row r="4" spans="1:8" ht="15.75" customHeight="1">
      <c r="A4" s="603" t="s">
        <v>276</v>
      </c>
      <c r="B4" s="569"/>
      <c r="C4" s="64"/>
      <c r="D4" s="64"/>
      <c r="E4" s="64"/>
      <c r="F4" s="64"/>
      <c r="G4" s="64"/>
      <c r="H4" s="64"/>
    </row>
    <row r="5" spans="1:8" ht="12.75" customHeight="1">
      <c r="A5" s="159"/>
      <c r="B5" s="130"/>
      <c r="C5" s="64"/>
      <c r="D5" s="64"/>
      <c r="E5" s="64"/>
      <c r="F5" s="64"/>
      <c r="G5" s="64"/>
      <c r="H5" s="64"/>
    </row>
    <row r="6" ht="19.5" customHeight="1">
      <c r="D6" s="114" t="s">
        <v>9</v>
      </c>
    </row>
    <row r="7" ht="20.25">
      <c r="D7" s="114" t="s">
        <v>416</v>
      </c>
    </row>
    <row r="8" spans="2:4" ht="20.25">
      <c r="B8" s="568"/>
      <c r="C8" s="569"/>
      <c r="D8" s="569"/>
    </row>
    <row r="9" spans="2:4" ht="20.25" customHeight="1">
      <c r="B9" s="566" t="s">
        <v>315</v>
      </c>
      <c r="C9" s="566"/>
      <c r="D9" s="566"/>
    </row>
    <row r="10" ht="20.25">
      <c r="D10" s="114" t="s">
        <v>10</v>
      </c>
    </row>
    <row r="11" spans="3:4" ht="15.75">
      <c r="C11" s="683"/>
      <c r="D11" s="683"/>
    </row>
    <row r="12" spans="3:4" ht="15.75">
      <c r="C12" s="49"/>
      <c r="D12" s="3" t="s">
        <v>11</v>
      </c>
    </row>
    <row r="13" spans="3:4" ht="15.75">
      <c r="C13" s="49"/>
      <c r="D13" s="3"/>
    </row>
    <row r="14" spans="1:8" ht="18.75">
      <c r="A14" s="816" t="str">
        <f>'приложение 3.1. 2016-2017 ген'!A15:D15</f>
        <v>Укрупненный сетевой график выполнения инвестиционного проекта</v>
      </c>
      <c r="B14" s="816"/>
      <c r="C14" s="816"/>
      <c r="D14" s="816"/>
      <c r="E14" s="64"/>
      <c r="F14" s="64"/>
      <c r="G14" s="64"/>
      <c r="H14" s="64"/>
    </row>
    <row r="15" spans="1:8" ht="18.75" customHeight="1">
      <c r="A15" s="816" t="str">
        <f>'приложение 3.1. 2016-2017 ген'!A16:D16</f>
        <v>на 2016 - 2017 годы</v>
      </c>
      <c r="B15" s="816"/>
      <c r="C15" s="816"/>
      <c r="D15" s="816"/>
      <c r="E15" s="64"/>
      <c r="F15" s="64"/>
      <c r="G15" s="64"/>
      <c r="H15" s="64"/>
    </row>
    <row r="16" spans="3:4" ht="15.75">
      <c r="C16" s="49"/>
      <c r="D16" s="3"/>
    </row>
    <row r="17" ht="12.75" customHeight="1"/>
    <row r="18" spans="1:4" ht="15.75" customHeight="1">
      <c r="A18" s="575" t="s">
        <v>104</v>
      </c>
      <c r="B18" s="575" t="s">
        <v>245</v>
      </c>
      <c r="C18" s="575" t="s">
        <v>246</v>
      </c>
      <c r="D18" s="575"/>
    </row>
    <row r="19" spans="1:4" ht="15.75">
      <c r="A19" s="575"/>
      <c r="B19" s="575"/>
      <c r="C19" s="575"/>
      <c r="D19" s="575"/>
    </row>
    <row r="20" spans="1:4" ht="31.5">
      <c r="A20" s="575"/>
      <c r="B20" s="575"/>
      <c r="C20" s="65" t="s">
        <v>353</v>
      </c>
      <c r="D20" s="65" t="s">
        <v>354</v>
      </c>
    </row>
    <row r="21" spans="1:4" ht="15.75">
      <c r="A21" s="6">
        <v>1</v>
      </c>
      <c r="B21" s="6">
        <v>2</v>
      </c>
      <c r="C21" s="65">
        <v>3</v>
      </c>
      <c r="D21" s="65">
        <v>4</v>
      </c>
    </row>
    <row r="22" spans="1:4" ht="18.75">
      <c r="A22" s="813">
        <f>'приложение 2.2 2013-2017 тр'!A20</f>
        <v>1</v>
      </c>
      <c r="B22" s="810" t="str">
        <f>'приложение 2.2 2013-2017 тр'!B20</f>
        <v>Замена электрооборудования 5-ти трансформаторных подстанций</v>
      </c>
      <c r="C22" s="384">
        <v>42644</v>
      </c>
      <c r="D22" s="384">
        <v>42674</v>
      </c>
    </row>
    <row r="23" spans="1:4" ht="18.75">
      <c r="A23" s="815"/>
      <c r="B23" s="812"/>
      <c r="C23" s="384">
        <v>43070</v>
      </c>
      <c r="D23" s="384">
        <v>43100</v>
      </c>
    </row>
    <row r="24" spans="1:4" ht="18.75">
      <c r="A24" s="815"/>
      <c r="B24" s="812"/>
      <c r="C24" s="384">
        <v>42644</v>
      </c>
      <c r="D24" s="384">
        <v>42674</v>
      </c>
    </row>
    <row r="25" spans="1:4" ht="18.75">
      <c r="A25" s="814"/>
      <c r="B25" s="811"/>
      <c r="C25" s="384">
        <v>43070</v>
      </c>
      <c r="D25" s="384">
        <v>43100</v>
      </c>
    </row>
    <row r="26" spans="1:4" ht="18.75">
      <c r="A26" s="555">
        <v>2</v>
      </c>
      <c r="B26" s="558" t="str">
        <f>'приложение 2.2 2013-2017 тр'!B21</f>
        <v>Строительство КТПН</v>
      </c>
      <c r="C26" s="384">
        <v>42644</v>
      </c>
      <c r="D26" s="384">
        <v>42674</v>
      </c>
    </row>
    <row r="27" spans="1:4" s="26" customFormat="1" ht="18.75">
      <c r="A27" s="555">
        <v>3</v>
      </c>
      <c r="B27" s="558" t="str">
        <f>'приложение 2.2 2013-2017 тр'!B22</f>
        <v>Реконструкция 1 секции ЗРУ-6 кВ, РУСН-0.4 кВ</v>
      </c>
      <c r="C27" s="384">
        <v>42644</v>
      </c>
      <c r="D27" s="384">
        <v>42674</v>
      </c>
    </row>
    <row r="28" spans="1:4" s="26" customFormat="1" ht="18.75">
      <c r="A28" s="813">
        <f>'приложение 2.2 2013-2017 тр'!A23</f>
        <v>4</v>
      </c>
      <c r="B28" s="810" t="str">
        <f>'приложение 2.2 2013-2017 тр'!B23</f>
        <v>Реконструкция 2 секции ЗРУ-6 кВ</v>
      </c>
      <c r="C28" s="384">
        <v>42644</v>
      </c>
      <c r="D28" s="384">
        <v>42674</v>
      </c>
    </row>
    <row r="29" spans="1:4" s="26" customFormat="1" ht="18.75">
      <c r="A29" s="814"/>
      <c r="B29" s="811"/>
      <c r="C29" s="384">
        <v>43070</v>
      </c>
      <c r="D29" s="384">
        <v>43100</v>
      </c>
    </row>
    <row r="30" spans="1:4" s="26" customFormat="1" ht="18.75">
      <c r="A30" s="813">
        <f>'приложение 2.2 2013-2017 тр'!A24</f>
        <v>5</v>
      </c>
      <c r="B30" s="810" t="str">
        <f>'приложение 2.2 2013-2017 тр'!B24</f>
        <v>Реконструкция РП - 6 кВ </v>
      </c>
      <c r="C30" s="384">
        <v>42644</v>
      </c>
      <c r="D30" s="384">
        <v>42674</v>
      </c>
    </row>
    <row r="31" spans="1:4" s="26" customFormat="1" ht="30" customHeight="1">
      <c r="A31" s="815"/>
      <c r="B31" s="812"/>
      <c r="C31" s="384">
        <v>43160</v>
      </c>
      <c r="D31" s="384">
        <v>43190</v>
      </c>
    </row>
    <row r="32" spans="1:4" s="26" customFormat="1" ht="30" customHeight="1">
      <c r="A32" s="383">
        <f>'приложение 2.2 2013-2017 тр'!A25</f>
        <v>6</v>
      </c>
      <c r="B32" s="368" t="str">
        <f>'приложение 2.2 2013-2017 тр'!B25</f>
        <v>Прокладка оптоволоконного кабеля АСУТП</v>
      </c>
      <c r="C32" s="384"/>
      <c r="D32" s="384"/>
    </row>
    <row r="33" spans="1:4" ht="36.75" customHeight="1">
      <c r="A33" s="383">
        <f>'приложение 2.2 2013-2017 тр'!A26</f>
        <v>7</v>
      </c>
      <c r="B33" s="368" t="str">
        <f>'приложение 2.2 2013-2017 тр'!B26</f>
        <v>Реконструкция ВЛ - 6 кВ</v>
      </c>
      <c r="C33" s="384">
        <v>42644</v>
      </c>
      <c r="D33" s="384">
        <v>42735</v>
      </c>
    </row>
    <row r="34" spans="1:4" ht="18.75">
      <c r="A34" s="813">
        <f>'приложение 2.2 2013-2017 тр'!A27</f>
        <v>8</v>
      </c>
      <c r="B34" s="810" t="str">
        <f>'приложение 2.2 2013-2017 тр'!B27</f>
        <v>Реконструкция ВЛ - 6 кВ (2 этап)</v>
      </c>
      <c r="C34" s="384">
        <v>42644</v>
      </c>
      <c r="D34" s="384">
        <v>42735</v>
      </c>
    </row>
    <row r="35" spans="1:4" ht="18.75">
      <c r="A35" s="814"/>
      <c r="B35" s="811"/>
      <c r="C35" s="384">
        <v>43160</v>
      </c>
      <c r="D35" s="384">
        <v>43190</v>
      </c>
    </row>
    <row r="36" spans="1:4" s="26" customFormat="1" ht="18.75">
      <c r="A36" s="383">
        <f>'приложение 2.2 2013-2017 тр'!A28</f>
        <v>9</v>
      </c>
      <c r="B36" s="368" t="str">
        <f>'приложение 2.2 2013-2017 тр'!B29</f>
        <v>Строительство ТП</v>
      </c>
      <c r="C36" s="384">
        <v>42644</v>
      </c>
      <c r="D36" s="384">
        <v>42735</v>
      </c>
    </row>
    <row r="37" spans="1:4" ht="18.75">
      <c r="A37" s="383">
        <f>'приложение 2.2 2013-2017 тр'!A29</f>
        <v>10</v>
      </c>
      <c r="B37" s="368" t="str">
        <f>'приложение 2.2 2013-2017 тр'!B30</f>
        <v>Закупка  снегохода</v>
      </c>
      <c r="C37" s="384"/>
      <c r="D37" s="384"/>
    </row>
    <row r="38" spans="1:4" ht="15.75">
      <c r="A38" s="381"/>
      <c r="B38" s="179"/>
      <c r="C38" s="382"/>
      <c r="D38" s="382"/>
    </row>
    <row r="39" spans="1:4" ht="15.75">
      <c r="A39" s="26" t="s">
        <v>352</v>
      </c>
      <c r="B39" s="125"/>
      <c r="C39" s="196"/>
      <c r="D39" s="69"/>
    </row>
    <row r="40" spans="1:4" ht="15.75">
      <c r="A40" s="26"/>
      <c r="B40" s="125"/>
      <c r="C40" s="196"/>
      <c r="D40" s="69"/>
    </row>
    <row r="41" spans="1:4" ht="15.75">
      <c r="A41" s="26"/>
      <c r="B41" s="125"/>
      <c r="C41" s="196"/>
      <c r="D41" s="69"/>
    </row>
    <row r="42" spans="1:6" ht="55.5" customHeight="1">
      <c r="A42" s="607" t="s">
        <v>230</v>
      </c>
      <c r="B42" s="607"/>
      <c r="C42" s="220"/>
      <c r="D42" s="199" t="s">
        <v>231</v>
      </c>
      <c r="E42" s="83"/>
      <c r="F42" s="83"/>
    </row>
  </sheetData>
  <sheetProtection/>
  <mergeCells count="19">
    <mergeCell ref="A14:D14"/>
    <mergeCell ref="A15:D15"/>
    <mergeCell ref="A42:B42"/>
    <mergeCell ref="C18:D19"/>
    <mergeCell ref="A18:A20"/>
    <mergeCell ref="B18:B20"/>
    <mergeCell ref="B30:B31"/>
    <mergeCell ref="A30:A31"/>
    <mergeCell ref="A34:A35"/>
    <mergeCell ref="B34:B35"/>
    <mergeCell ref="C1:D1"/>
    <mergeCell ref="A4:B4"/>
    <mergeCell ref="C11:D11"/>
    <mergeCell ref="B8:D8"/>
    <mergeCell ref="B9:D9"/>
    <mergeCell ref="B22:B25"/>
    <mergeCell ref="A28:A29"/>
    <mergeCell ref="B28:B29"/>
    <mergeCell ref="A2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zoomScale="65" zoomScaleNormal="65" zoomScaleSheetLayoutView="70" zoomScalePageLayoutView="0" workbookViewId="0" topLeftCell="A1">
      <selection activeCell="I16" sqref="I16:I18"/>
    </sheetView>
  </sheetViews>
  <sheetFormatPr defaultColWidth="9.00390625" defaultRowHeight="15.75"/>
  <cols>
    <col min="1" max="1" width="9.00390625" style="2" customWidth="1"/>
    <col min="2" max="2" width="56.625" style="2" customWidth="1"/>
    <col min="3" max="3" width="13.875" style="2" customWidth="1"/>
    <col min="4" max="4" width="14.625" style="2" customWidth="1"/>
    <col min="5" max="5" width="16.00390625" style="2" hidden="1" customWidth="1"/>
    <col min="6" max="6" width="56.75390625" style="2" hidden="1" customWidth="1"/>
    <col min="7" max="8" width="12.50390625" style="2" customWidth="1"/>
    <col min="9" max="9" width="13.625" style="2" customWidth="1"/>
    <col min="10" max="10" width="12.50390625" style="2" customWidth="1"/>
    <col min="11" max="11" width="9.375" style="2" hidden="1" customWidth="1"/>
    <col min="12" max="12" width="10.75390625" style="2" hidden="1" customWidth="1"/>
    <col min="13" max="13" width="13.00390625" style="2" hidden="1" customWidth="1"/>
    <col min="14" max="14" width="14.75390625" style="2" customWidth="1"/>
    <col min="15" max="15" width="10.125" style="2" customWidth="1"/>
    <col min="16" max="16384" width="9.00390625" style="2" customWidth="1"/>
  </cols>
  <sheetData>
    <row r="1" spans="3:15" ht="18.75">
      <c r="C1" s="3"/>
      <c r="M1" s="827" t="s">
        <v>542</v>
      </c>
      <c r="N1" s="827"/>
      <c r="O1" s="827"/>
    </row>
    <row r="2" spans="6:15" ht="18.75">
      <c r="F2" s="3"/>
      <c r="G2" s="3"/>
      <c r="H2" s="3"/>
      <c r="O2" s="199" t="s">
        <v>7</v>
      </c>
    </row>
    <row r="3" spans="1:15" ht="15.75" customHeight="1">
      <c r="A3" s="603" t="s">
        <v>276</v>
      </c>
      <c r="B3" s="569"/>
      <c r="C3" s="64"/>
      <c r="D3" s="64"/>
      <c r="E3" s="64"/>
      <c r="F3" s="64"/>
      <c r="G3" s="64"/>
      <c r="O3" s="114"/>
    </row>
    <row r="4" spans="1:15" ht="15.75" customHeight="1">
      <c r="A4" s="64"/>
      <c r="B4" s="64"/>
      <c r="C4" s="64"/>
      <c r="D4" s="64"/>
      <c r="E4" s="64"/>
      <c r="F4" s="64"/>
      <c r="G4" s="64"/>
      <c r="O4" s="114"/>
    </row>
    <row r="5" spans="1:15" ht="20.25" customHeight="1">
      <c r="A5" s="64"/>
      <c r="B5" s="64"/>
      <c r="C5" s="64"/>
      <c r="D5" s="64"/>
      <c r="E5" s="64"/>
      <c r="F5" s="64"/>
      <c r="G5" s="64"/>
      <c r="M5" s="568" t="s">
        <v>9</v>
      </c>
      <c r="N5" s="568"/>
      <c r="O5" s="568"/>
    </row>
    <row r="6" spans="5:15" ht="20.25">
      <c r="E6" s="113"/>
      <c r="I6" s="568" t="s">
        <v>416</v>
      </c>
      <c r="J6" s="568"/>
      <c r="K6" s="568"/>
      <c r="L6" s="568"/>
      <c r="M6" s="568"/>
      <c r="N6" s="568"/>
      <c r="O6" s="568"/>
    </row>
    <row r="7" spans="5:15" ht="20.25">
      <c r="E7" s="113"/>
      <c r="L7" s="568"/>
      <c r="M7" s="568"/>
      <c r="N7" s="568"/>
      <c r="O7" s="568"/>
    </row>
    <row r="8" spans="5:15" ht="20.25" customHeight="1">
      <c r="E8" s="113"/>
      <c r="I8" s="566" t="s">
        <v>315</v>
      </c>
      <c r="J8" s="566"/>
      <c r="K8" s="566"/>
      <c r="L8" s="566"/>
      <c r="M8" s="566"/>
      <c r="N8" s="566"/>
      <c r="O8" s="566"/>
    </row>
    <row r="9" spans="5:15" ht="20.25" customHeight="1">
      <c r="E9" s="128"/>
      <c r="F9" s="128"/>
      <c r="J9" s="670" t="s">
        <v>10</v>
      </c>
      <c r="K9" s="670"/>
      <c r="L9" s="670"/>
      <c r="M9" s="670"/>
      <c r="N9" s="670"/>
      <c r="O9" s="670"/>
    </row>
    <row r="10" spans="5:15" ht="20.25">
      <c r="E10" s="113"/>
      <c r="O10" s="114" t="s">
        <v>11</v>
      </c>
    </row>
    <row r="11" spans="5:15" ht="20.25">
      <c r="E11" s="113"/>
      <c r="O11" s="114"/>
    </row>
    <row r="12" spans="1:15" ht="21.75" customHeight="1">
      <c r="A12" s="650" t="str">
        <f>'приложение 3.2 2016-2017 ген'!A14:M14</f>
        <v>Расчет амортизационных отчислений по вновь вводимому оборудованию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</row>
    <row r="13" spans="1:15" ht="21.75" customHeight="1">
      <c r="A13" s="650" t="str">
        <f>'приложение 3.2 2016-2017 ген'!A15:M15</f>
        <v>на 2016 - 2017 годы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</row>
    <row r="14" spans="5:15" ht="20.25">
      <c r="E14" s="113"/>
      <c r="O14" s="114"/>
    </row>
    <row r="15" spans="5:15" ht="15.75" customHeight="1">
      <c r="E15" s="113"/>
      <c r="O15" s="43" t="s">
        <v>506</v>
      </c>
    </row>
    <row r="16" spans="1:15" ht="15.75">
      <c r="A16" s="575" t="s">
        <v>104</v>
      </c>
      <c r="B16" s="575" t="s">
        <v>245</v>
      </c>
      <c r="C16" s="575" t="s">
        <v>258</v>
      </c>
      <c r="D16" s="575"/>
      <c r="E16" s="830" t="s">
        <v>105</v>
      </c>
      <c r="F16" s="575" t="s">
        <v>106</v>
      </c>
      <c r="G16" s="575" t="s">
        <v>262</v>
      </c>
      <c r="H16" s="575" t="s">
        <v>260</v>
      </c>
      <c r="I16" s="575" t="s">
        <v>362</v>
      </c>
      <c r="J16" s="575" t="s">
        <v>263</v>
      </c>
      <c r="K16" s="575" t="s">
        <v>133</v>
      </c>
      <c r="L16" s="575"/>
      <c r="M16" s="575"/>
      <c r="N16" s="575"/>
      <c r="O16" s="575"/>
    </row>
    <row r="17" spans="1:15" ht="15.75">
      <c r="A17" s="575"/>
      <c r="B17" s="575"/>
      <c r="C17" s="575"/>
      <c r="D17" s="575"/>
      <c r="E17" s="830"/>
      <c r="F17" s="575"/>
      <c r="G17" s="575"/>
      <c r="H17" s="575"/>
      <c r="I17" s="575"/>
      <c r="J17" s="575"/>
      <c r="K17" s="575"/>
      <c r="L17" s="575"/>
      <c r="M17" s="575"/>
      <c r="N17" s="575"/>
      <c r="O17" s="575"/>
    </row>
    <row r="18" spans="1:15" ht="36.75" customHeight="1">
      <c r="A18" s="575"/>
      <c r="B18" s="575"/>
      <c r="C18" s="66" t="s">
        <v>107</v>
      </c>
      <c r="D18" s="66" t="s">
        <v>108</v>
      </c>
      <c r="E18" s="830"/>
      <c r="F18" s="575"/>
      <c r="G18" s="575"/>
      <c r="H18" s="575"/>
      <c r="I18" s="575"/>
      <c r="J18" s="575"/>
      <c r="K18" s="6" t="s">
        <v>447</v>
      </c>
      <c r="L18" s="6" t="s">
        <v>448</v>
      </c>
      <c r="M18" s="6" t="s">
        <v>449</v>
      </c>
      <c r="N18" s="6" t="s">
        <v>505</v>
      </c>
      <c r="O18" s="6" t="s">
        <v>450</v>
      </c>
    </row>
    <row r="19" spans="1:15" ht="15.75">
      <c r="A19" s="6">
        <v>1</v>
      </c>
      <c r="B19" s="6">
        <v>2</v>
      </c>
      <c r="C19" s="65">
        <v>3</v>
      </c>
      <c r="D19" s="65">
        <v>4</v>
      </c>
      <c r="E19" s="66">
        <v>5</v>
      </c>
      <c r="F19" s="6">
        <v>6</v>
      </c>
      <c r="G19" s="6">
        <v>5</v>
      </c>
      <c r="H19" s="6">
        <v>6</v>
      </c>
      <c r="I19" s="6">
        <v>7</v>
      </c>
      <c r="J19" s="6">
        <v>8</v>
      </c>
      <c r="K19" s="6">
        <v>9</v>
      </c>
      <c r="L19" s="6">
        <v>10</v>
      </c>
      <c r="M19" s="6">
        <v>11</v>
      </c>
      <c r="N19" s="6">
        <v>9</v>
      </c>
      <c r="O19" s="6">
        <v>10</v>
      </c>
    </row>
    <row r="20" spans="1:15" ht="15.75">
      <c r="A20" s="231">
        <v>1</v>
      </c>
      <c r="B20" s="305" t="str">
        <f>'приложение 1.1 2016-2017 тр'!B23</f>
        <v>Замена электрооборудования трансформаторной подстанции</v>
      </c>
      <c r="C20" s="232">
        <v>42644</v>
      </c>
      <c r="D20" s="232">
        <v>42674</v>
      </c>
      <c r="E20" s="385"/>
      <c r="F20" s="271"/>
      <c r="G20" s="161">
        <f>(670+3936.921)/1.18+3328+20</f>
        <v>7252.170338983051</v>
      </c>
      <c r="H20" s="14">
        <v>10</v>
      </c>
      <c r="I20" s="266">
        <f>1/H20*100</f>
        <v>10</v>
      </c>
      <c r="J20" s="93">
        <v>2</v>
      </c>
      <c r="K20" s="14"/>
      <c r="L20" s="233"/>
      <c r="M20" s="233"/>
      <c r="N20" s="233">
        <v>119.87058</v>
      </c>
      <c r="O20" s="233">
        <v>719.22351</v>
      </c>
    </row>
    <row r="21" spans="1:15" ht="15.75">
      <c r="A21" s="231">
        <f>A20+1</f>
        <v>2</v>
      </c>
      <c r="B21" s="305" t="str">
        <f>'приложение 1.1 2016-2017 тр'!B24</f>
        <v>Замена электрооборудования трансформаторной подстанции</v>
      </c>
      <c r="C21" s="232">
        <v>42644</v>
      </c>
      <c r="D21" s="232">
        <v>42674</v>
      </c>
      <c r="E21" s="385"/>
      <c r="F21" s="271"/>
      <c r="G21" s="161">
        <f>3609.99996/1.18+990</f>
        <v>4049.322</v>
      </c>
      <c r="H21" s="14">
        <v>10</v>
      </c>
      <c r="I21" s="266">
        <f aca="true" t="shared" si="0" ref="I21:I37">1/H21*100</f>
        <v>10</v>
      </c>
      <c r="J21" s="93">
        <v>0</v>
      </c>
      <c r="K21" s="14"/>
      <c r="L21" s="233"/>
      <c r="M21" s="233"/>
      <c r="N21" s="233">
        <v>473.44026</v>
      </c>
      <c r="O21" s="233">
        <v>587.81618</v>
      </c>
    </row>
    <row r="22" spans="1:15" ht="15.75">
      <c r="A22" s="231">
        <f>A21+1</f>
        <v>3</v>
      </c>
      <c r="B22" s="305" t="str">
        <f>'приложение 1.1 2016-2017 тр'!B25</f>
        <v>Замена электрооборудования трансформаторной подстанции</v>
      </c>
      <c r="C22" s="232">
        <v>43070</v>
      </c>
      <c r="D22" s="232">
        <v>43100</v>
      </c>
      <c r="E22" s="386"/>
      <c r="F22" s="387"/>
      <c r="G22" s="161">
        <f>3821.38162/1.18+3458</f>
        <v>6696.459000000001</v>
      </c>
      <c r="H22" s="14">
        <v>10</v>
      </c>
      <c r="I22" s="266">
        <f t="shared" si="0"/>
        <v>10</v>
      </c>
      <c r="J22" s="93">
        <v>0</v>
      </c>
      <c r="K22" s="14"/>
      <c r="L22" s="233"/>
      <c r="M22" s="233"/>
      <c r="N22" s="233"/>
      <c r="O22" s="233"/>
    </row>
    <row r="23" spans="1:15" ht="16.5" thickBot="1">
      <c r="A23" s="522">
        <f>A22+1</f>
        <v>4</v>
      </c>
      <c r="B23" s="523" t="str">
        <f>'приложение 1.1 2016-2017 тр'!B26</f>
        <v>Замена электрооборудования трансформаторной подстанции</v>
      </c>
      <c r="C23" s="499"/>
      <c r="D23" s="499"/>
      <c r="E23" s="500"/>
      <c r="F23" s="501"/>
      <c r="G23" s="162"/>
      <c r="H23" s="20"/>
      <c r="I23" s="524"/>
      <c r="J23" s="502"/>
      <c r="K23" s="20"/>
      <c r="L23" s="503"/>
      <c r="M23" s="503"/>
      <c r="N23" s="503"/>
      <c r="O23" s="503"/>
    </row>
    <row r="24" spans="1:15" ht="15.75">
      <c r="A24" s="817">
        <f>A23+1</f>
        <v>5</v>
      </c>
      <c r="B24" s="819" t="str">
        <f>'приложение 1.1 2016-2017 тр'!B27</f>
        <v>Замена электрооборудования трансформаторной подстанции</v>
      </c>
      <c r="C24" s="511">
        <v>42644</v>
      </c>
      <c r="D24" s="511">
        <v>42674</v>
      </c>
      <c r="E24" s="512"/>
      <c r="F24" s="513"/>
      <c r="G24" s="821">
        <f>(459.05792+451+451+870+4000)/1.18+3458</f>
        <v>8738.557559322035</v>
      </c>
      <c r="H24" s="823">
        <v>10</v>
      </c>
      <c r="I24" s="825">
        <f t="shared" si="0"/>
        <v>10</v>
      </c>
      <c r="J24" s="515">
        <v>2</v>
      </c>
      <c r="K24" s="320"/>
      <c r="L24" s="514"/>
      <c r="M24" s="514"/>
      <c r="N24" s="828">
        <v>12.7477</v>
      </c>
      <c r="O24" s="828">
        <f>N24/2*12</f>
        <v>76.4862</v>
      </c>
    </row>
    <row r="25" spans="1:15" ht="16.5" thickBot="1">
      <c r="A25" s="818"/>
      <c r="B25" s="820"/>
      <c r="C25" s="516">
        <v>43070</v>
      </c>
      <c r="D25" s="516">
        <v>43100</v>
      </c>
      <c r="E25" s="517"/>
      <c r="F25" s="518"/>
      <c r="G25" s="822"/>
      <c r="H25" s="824"/>
      <c r="I25" s="826"/>
      <c r="J25" s="520">
        <v>0</v>
      </c>
      <c r="K25" s="9"/>
      <c r="L25" s="519"/>
      <c r="M25" s="519"/>
      <c r="N25" s="829"/>
      <c r="O25" s="829"/>
    </row>
    <row r="26" spans="1:15" ht="15.75">
      <c r="A26" s="559">
        <f>A24+1</f>
        <v>6</v>
      </c>
      <c r="B26" s="560" t="str">
        <f>'приложение 1.1 2016-2017 тр'!B28</f>
        <v>Строительство КТПН</v>
      </c>
      <c r="C26" s="511">
        <v>42644</v>
      </c>
      <c r="D26" s="511">
        <v>42674</v>
      </c>
      <c r="E26" s="512"/>
      <c r="F26" s="513"/>
      <c r="G26" s="561">
        <f>4334.99963/1.18+150+800+100</f>
        <v>4723.728500000001</v>
      </c>
      <c r="H26" s="514">
        <v>15</v>
      </c>
      <c r="I26" s="562">
        <f>1/H26*100</f>
        <v>6.666666666666667</v>
      </c>
      <c r="J26" s="515">
        <v>2</v>
      </c>
      <c r="K26" s="515"/>
      <c r="L26" s="514"/>
      <c r="M26" s="514"/>
      <c r="N26" s="514">
        <v>260.5151</v>
      </c>
      <c r="O26" s="514">
        <v>318.24021</v>
      </c>
    </row>
    <row r="27" spans="1:15" ht="16.5" thickBot="1">
      <c r="A27" s="563">
        <f>A26+1</f>
        <v>7</v>
      </c>
      <c r="B27" s="564" t="str">
        <f>'приложение 1.1 2016-2017 тр'!B29</f>
        <v>Реконструкция 1 секции ЗРУ-6 кВ, РУСН-0.4 кВ</v>
      </c>
      <c r="C27" s="516">
        <v>42644</v>
      </c>
      <c r="D27" s="516">
        <v>42674</v>
      </c>
      <c r="E27" s="517"/>
      <c r="F27" s="518"/>
      <c r="G27" s="201">
        <f>(9999.99968+251.2678312+113.1571+585+550.99982+280.5)/1.18+130+2828+270+900+500+70</f>
        <v>14681.834263728815</v>
      </c>
      <c r="H27" s="519">
        <v>10</v>
      </c>
      <c r="I27" s="565">
        <f>1/H27*100</f>
        <v>10</v>
      </c>
      <c r="J27" s="520">
        <v>2</v>
      </c>
      <c r="K27" s="520"/>
      <c r="L27" s="519"/>
      <c r="M27" s="519"/>
      <c r="N27" s="519">
        <f>91.21868+931.1141</f>
        <v>1022.33278</v>
      </c>
      <c r="O27" s="519">
        <f>1244.70378+432.00009</f>
        <v>1676.70387</v>
      </c>
    </row>
    <row r="28" spans="1:15" ht="25.5" customHeight="1">
      <c r="A28" s="817">
        <f>A27+1</f>
        <v>8</v>
      </c>
      <c r="B28" s="819" t="str">
        <f>'приложение 1.1 2016-2017 тр'!B30</f>
        <v>Реконструкция 2 секции ЗРУ-6 кВ</v>
      </c>
      <c r="C28" s="511">
        <v>42644</v>
      </c>
      <c r="D28" s="511">
        <v>42674</v>
      </c>
      <c r="E28" s="512"/>
      <c r="F28" s="513"/>
      <c r="G28" s="821">
        <f>(1534.037+11350)/1.18+3458</f>
        <v>14376.675423728815</v>
      </c>
      <c r="H28" s="828">
        <v>10</v>
      </c>
      <c r="I28" s="825">
        <f t="shared" si="0"/>
        <v>10</v>
      </c>
      <c r="J28" s="515">
        <v>2</v>
      </c>
      <c r="K28" s="515"/>
      <c r="L28" s="514"/>
      <c r="M28" s="514"/>
      <c r="N28" s="828">
        <v>30.58898</v>
      </c>
      <c r="O28" s="828">
        <v>183.53384</v>
      </c>
    </row>
    <row r="29" spans="1:15" ht="25.5" customHeight="1" thickBot="1">
      <c r="A29" s="818"/>
      <c r="B29" s="820"/>
      <c r="C29" s="516">
        <v>43070</v>
      </c>
      <c r="D29" s="516">
        <v>43100</v>
      </c>
      <c r="E29" s="517"/>
      <c r="F29" s="518"/>
      <c r="G29" s="822"/>
      <c r="H29" s="829"/>
      <c r="I29" s="826"/>
      <c r="J29" s="520">
        <v>0</v>
      </c>
      <c r="K29" s="520"/>
      <c r="L29" s="519"/>
      <c r="M29" s="519"/>
      <c r="N29" s="829"/>
      <c r="O29" s="829"/>
    </row>
    <row r="30" spans="1:15" ht="15.75">
      <c r="A30" s="817">
        <f>A28+1</f>
        <v>9</v>
      </c>
      <c r="B30" s="819" t="str">
        <f>'приложение 1.1 2016-2017 тр'!B31</f>
        <v>Реконструкция РП - 6 кВ </v>
      </c>
      <c r="C30" s="511">
        <v>42644</v>
      </c>
      <c r="D30" s="511">
        <v>42674</v>
      </c>
      <c r="E30" s="512"/>
      <c r="F30" s="513"/>
      <c r="G30" s="821">
        <f>2082.54491/1.18+1328.399</f>
        <v>3093.26756779661</v>
      </c>
      <c r="H30" s="828">
        <v>10</v>
      </c>
      <c r="I30" s="825">
        <f t="shared" si="0"/>
        <v>10</v>
      </c>
      <c r="J30" s="515">
        <v>2</v>
      </c>
      <c r="K30" s="515"/>
      <c r="L30" s="514"/>
      <c r="M30" s="514"/>
      <c r="N30" s="828">
        <v>51.12838</v>
      </c>
      <c r="O30" s="828">
        <v>306.77034</v>
      </c>
    </row>
    <row r="31" spans="1:15" ht="16.5" thickBot="1">
      <c r="A31" s="818"/>
      <c r="B31" s="820"/>
      <c r="C31" s="527">
        <v>43101</v>
      </c>
      <c r="D31" s="527">
        <v>43190</v>
      </c>
      <c r="E31" s="528"/>
      <c r="F31" s="529"/>
      <c r="G31" s="822"/>
      <c r="H31" s="829"/>
      <c r="I31" s="826"/>
      <c r="J31" s="530">
        <v>9</v>
      </c>
      <c r="K31" s="530"/>
      <c r="L31" s="521"/>
      <c r="M31" s="521"/>
      <c r="N31" s="829"/>
      <c r="O31" s="829"/>
    </row>
    <row r="32" spans="1:15" ht="25.5" customHeight="1">
      <c r="A32" s="525">
        <f>A30+1</f>
        <v>10</v>
      </c>
      <c r="B32" s="526" t="str">
        <f>'приложение 1.1 2016-2017 тр'!B33</f>
        <v>Прокладка оптоволоконного кабеля АСУТП</v>
      </c>
      <c r="C32" s="504"/>
      <c r="D32" s="504"/>
      <c r="E32" s="505"/>
      <c r="F32" s="506"/>
      <c r="G32" s="507"/>
      <c r="H32" s="508"/>
      <c r="I32" s="509"/>
      <c r="J32" s="510"/>
      <c r="K32" s="510"/>
      <c r="L32" s="508"/>
      <c r="M32" s="508"/>
      <c r="N32" s="508"/>
      <c r="O32" s="508"/>
    </row>
    <row r="33" spans="1:15" ht="16.5" thickBot="1">
      <c r="A33" s="522">
        <f>A32+1</f>
        <v>11</v>
      </c>
      <c r="B33" s="523" t="str">
        <f>'приложение 1.1 2016-2017 тр'!B37</f>
        <v>Реконструкция ВЛ - 6 кВ</v>
      </c>
      <c r="C33" s="499">
        <v>42644</v>
      </c>
      <c r="D33" s="499">
        <v>42674</v>
      </c>
      <c r="E33" s="500"/>
      <c r="F33" s="501"/>
      <c r="G33" s="162">
        <f>(446.049+2744.9999)/1.18+90+90+3007.138</f>
        <v>5891.4167288135595</v>
      </c>
      <c r="H33" s="503">
        <v>30</v>
      </c>
      <c r="I33" s="524">
        <f t="shared" si="0"/>
        <v>3.3333333333333335</v>
      </c>
      <c r="J33" s="502">
        <v>2</v>
      </c>
      <c r="K33" s="502"/>
      <c r="L33" s="503"/>
      <c r="M33" s="503"/>
      <c r="N33" s="503">
        <f>12.2804+23.70066</f>
        <v>35.98106</v>
      </c>
      <c r="O33" s="503">
        <f>73.68242+142.204</f>
        <v>215.88642</v>
      </c>
    </row>
    <row r="34" spans="1:15" ht="15.75">
      <c r="A34" s="817">
        <f>A33+1</f>
        <v>12</v>
      </c>
      <c r="B34" s="819" t="str">
        <f>'приложение 1.1 2016-2017 тр'!B38</f>
        <v>Реконструкция ВЛ - 6 кВ (2 этап)</v>
      </c>
      <c r="C34" s="511">
        <v>42644</v>
      </c>
      <c r="D34" s="511">
        <v>42674</v>
      </c>
      <c r="E34" s="512"/>
      <c r="F34" s="513"/>
      <c r="G34" s="821">
        <v>936.85</v>
      </c>
      <c r="H34" s="828">
        <v>30</v>
      </c>
      <c r="I34" s="825">
        <f t="shared" si="0"/>
        <v>3.3333333333333335</v>
      </c>
      <c r="J34" s="515">
        <v>2</v>
      </c>
      <c r="K34" s="515"/>
      <c r="L34" s="514"/>
      <c r="M34" s="514"/>
      <c r="N34" s="828">
        <v>1.84866</v>
      </c>
      <c r="O34" s="828">
        <v>11.09198</v>
      </c>
    </row>
    <row r="35" spans="1:15" ht="16.5" thickBot="1">
      <c r="A35" s="818"/>
      <c r="B35" s="820"/>
      <c r="C35" s="516">
        <v>43101</v>
      </c>
      <c r="D35" s="516">
        <v>43190</v>
      </c>
      <c r="E35" s="517"/>
      <c r="F35" s="518"/>
      <c r="G35" s="822"/>
      <c r="H35" s="829"/>
      <c r="I35" s="826"/>
      <c r="J35" s="520">
        <v>9</v>
      </c>
      <c r="K35" s="520"/>
      <c r="L35" s="519"/>
      <c r="M35" s="519"/>
      <c r="N35" s="829"/>
      <c r="O35" s="829"/>
    </row>
    <row r="36" spans="1:15" ht="15.75">
      <c r="A36" s="525">
        <f>A34+1</f>
        <v>13</v>
      </c>
      <c r="B36" s="526" t="str">
        <f>'приложение 1.1 2016-2017 тр'!B40</f>
        <v>Строительство ТП</v>
      </c>
      <c r="C36" s="504">
        <v>42644</v>
      </c>
      <c r="D36" s="504">
        <v>42674</v>
      </c>
      <c r="E36" s="505"/>
      <c r="F36" s="506"/>
      <c r="G36" s="507">
        <f>8979+170+4414.958/1.18+2917</f>
        <v>15807.489830508475</v>
      </c>
      <c r="H36" s="508">
        <v>12</v>
      </c>
      <c r="I36" s="509">
        <f t="shared" si="0"/>
        <v>8.333333333333332</v>
      </c>
      <c r="J36" s="510">
        <v>2</v>
      </c>
      <c r="K36" s="510"/>
      <c r="L36" s="508"/>
      <c r="M36" s="508"/>
      <c r="N36" s="508">
        <v>216.54096</v>
      </c>
      <c r="O36" s="508">
        <v>1299.24574</v>
      </c>
    </row>
    <row r="37" spans="1:15" ht="15.75">
      <c r="A37" s="231">
        <f>A36+1</f>
        <v>14</v>
      </c>
      <c r="B37" s="305" t="str">
        <f>'приложение 1.1 2016-2017 тр'!B42</f>
        <v>Закупка  снегохода</v>
      </c>
      <c r="C37" s="232">
        <v>41974</v>
      </c>
      <c r="D37" s="232">
        <v>42004</v>
      </c>
      <c r="E37" s="386"/>
      <c r="F37" s="387"/>
      <c r="G37" s="161">
        <f>'приложение 1.1 2016-2017 тр'!G42/1.18</f>
        <v>329.66101694915255</v>
      </c>
      <c r="H37" s="233">
        <v>3</v>
      </c>
      <c r="I37" s="266">
        <f t="shared" si="0"/>
        <v>33.33333333333333</v>
      </c>
      <c r="J37" s="93">
        <v>0</v>
      </c>
      <c r="K37" s="93"/>
      <c r="L37" s="233">
        <v>8.5</v>
      </c>
      <c r="M37" s="233"/>
      <c r="N37" s="233">
        <f>(I37/100*(G37-K37-L37-M37))</f>
        <v>107.05367231638417</v>
      </c>
      <c r="O37" s="233">
        <f>(I37/100*(G37-K37-L37-M37-N37))</f>
        <v>71.36911487758945</v>
      </c>
    </row>
    <row r="38" spans="1:15" ht="15.75">
      <c r="A38" s="231">
        <f>A37+1</f>
        <v>15</v>
      </c>
      <c r="B38" s="305" t="s">
        <v>503</v>
      </c>
      <c r="C38" s="232">
        <v>42705</v>
      </c>
      <c r="D38" s="232">
        <v>42735</v>
      </c>
      <c r="E38" s="386"/>
      <c r="F38" s="387"/>
      <c r="G38" s="161">
        <f>41.55+51.85+51.85</f>
        <v>145.25</v>
      </c>
      <c r="H38" s="233"/>
      <c r="I38" s="266"/>
      <c r="J38" s="93"/>
      <c r="K38" s="93"/>
      <c r="L38" s="233"/>
      <c r="M38" s="233"/>
      <c r="N38" s="233">
        <f>4.986+20.74+20.74</f>
        <v>46.465999999999994</v>
      </c>
      <c r="O38" s="233">
        <f>(41.55+51.85+51.85)/25*12</f>
        <v>69.72</v>
      </c>
    </row>
    <row r="39" spans="1:16" s="150" customFormat="1" ht="15.75">
      <c r="A39" s="65"/>
      <c r="B39" s="147" t="s">
        <v>259</v>
      </c>
      <c r="C39" s="65"/>
      <c r="D39" s="65"/>
      <c r="E39" s="65"/>
      <c r="F39" s="148"/>
      <c r="G39" s="267">
        <f>SUM(G20:G38)</f>
        <v>86722.68222983052</v>
      </c>
      <c r="H39" s="267"/>
      <c r="I39" s="267"/>
      <c r="J39" s="267"/>
      <c r="K39" s="267">
        <f>SUM(K20:K38)</f>
        <v>0</v>
      </c>
      <c r="L39" s="267">
        <f>SUM(L20:L38)</f>
        <v>8.5</v>
      </c>
      <c r="M39" s="267">
        <f>SUM(M20:M38)</f>
        <v>0</v>
      </c>
      <c r="N39" s="267">
        <f>SUM(N20:N38)</f>
        <v>2378.5141323163843</v>
      </c>
      <c r="O39" s="267">
        <f>SUM(O20:O38)</f>
        <v>5536.08740487759</v>
      </c>
      <c r="P39" s="324"/>
    </row>
    <row r="40" spans="1:17" s="26" customFormat="1" ht="15.75">
      <c r="A40" s="651"/>
      <c r="B40" s="651"/>
      <c r="C40" s="651"/>
      <c r="D40" s="651"/>
      <c r="E40" s="651"/>
      <c r="F40" s="651"/>
      <c r="G40" s="125"/>
      <c r="H40" s="125"/>
      <c r="Q40" s="278"/>
    </row>
    <row r="41" spans="1:17" s="26" customFormat="1" ht="15.75">
      <c r="A41" s="125"/>
      <c r="B41" s="125"/>
      <c r="C41" s="125"/>
      <c r="D41" s="125"/>
      <c r="E41" s="125"/>
      <c r="F41" s="125"/>
      <c r="G41" s="125"/>
      <c r="H41" s="125"/>
      <c r="Q41" s="278"/>
    </row>
    <row r="42" spans="1:17" s="26" customFormat="1" ht="15.75">
      <c r="A42" s="125"/>
      <c r="B42" s="125"/>
      <c r="C42" s="125"/>
      <c r="D42" s="125"/>
      <c r="E42" s="125"/>
      <c r="F42" s="125"/>
      <c r="G42" s="125"/>
      <c r="H42" s="125"/>
      <c r="Q42" s="278"/>
    </row>
    <row r="43" spans="1:15" ht="20.25">
      <c r="A43" s="831" t="s">
        <v>230</v>
      </c>
      <c r="B43" s="831"/>
      <c r="C43" s="831"/>
      <c r="D43" s="831"/>
      <c r="E43" s="831"/>
      <c r="F43" s="831"/>
      <c r="G43" s="831"/>
      <c r="H43" s="831"/>
      <c r="J43" s="204"/>
      <c r="K43" s="113"/>
      <c r="L43" s="210"/>
      <c r="M43" s="213"/>
      <c r="O43" s="114" t="s">
        <v>231</v>
      </c>
    </row>
  </sheetData>
  <sheetProtection/>
  <mergeCells count="49">
    <mergeCell ref="A43:H43"/>
    <mergeCell ref="I34:I35"/>
    <mergeCell ref="N34:N35"/>
    <mergeCell ref="O34:O35"/>
    <mergeCell ref="G30:G31"/>
    <mergeCell ref="H30:H31"/>
    <mergeCell ref="I30:I31"/>
    <mergeCell ref="N30:N31"/>
    <mergeCell ref="O30:O31"/>
    <mergeCell ref="A30:A31"/>
    <mergeCell ref="A28:A29"/>
    <mergeCell ref="B28:B29"/>
    <mergeCell ref="B30:B31"/>
    <mergeCell ref="A34:A35"/>
    <mergeCell ref="B34:B35"/>
    <mergeCell ref="G34:G35"/>
    <mergeCell ref="H34:H35"/>
    <mergeCell ref="O28:O29"/>
    <mergeCell ref="G28:G29"/>
    <mergeCell ref="H28:H29"/>
    <mergeCell ref="I28:I29"/>
    <mergeCell ref="N28:N29"/>
    <mergeCell ref="N24:N25"/>
    <mergeCell ref="O24:O25"/>
    <mergeCell ref="K16:O17"/>
    <mergeCell ref="I16:I18"/>
    <mergeCell ref="E16:E18"/>
    <mergeCell ref="G16:G18"/>
    <mergeCell ref="H16:H18"/>
    <mergeCell ref="C16:D17"/>
    <mergeCell ref="M1:O1"/>
    <mergeCell ref="M5:O5"/>
    <mergeCell ref="L7:O7"/>
    <mergeCell ref="A3:B3"/>
    <mergeCell ref="I6:O6"/>
    <mergeCell ref="I8:O8"/>
    <mergeCell ref="J9:O9"/>
    <mergeCell ref="A12:O12"/>
    <mergeCell ref="A13:O13"/>
    <mergeCell ref="A40:F40"/>
    <mergeCell ref="A16:A18"/>
    <mergeCell ref="B16:B18"/>
    <mergeCell ref="J16:J18"/>
    <mergeCell ref="F16:F18"/>
    <mergeCell ref="A24:A25"/>
    <mergeCell ref="B24:B25"/>
    <mergeCell ref="G24:G25"/>
    <mergeCell ref="H24:H25"/>
    <mergeCell ref="I24:I25"/>
  </mergeCells>
  <printOptions/>
  <pageMargins left="0.1968503937007874" right="0.15748031496062992" top="0.17" bottom="0.23" header="0.22" footer="0.18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3"/>
  <sheetViews>
    <sheetView zoomScale="75" zoomScaleNormal="75" zoomScaleSheetLayoutView="80" zoomScalePageLayoutView="0" workbookViewId="0" topLeftCell="A4">
      <selection activeCell="K35" sqref="K35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5" width="12.75390625" style="49" hidden="1" customWidth="1"/>
    <col min="6" max="6" width="2.00390625" style="49" hidden="1" customWidth="1"/>
    <col min="7" max="7" width="12.375" style="83" hidden="1" customWidth="1"/>
    <col min="8" max="8" width="21.50390625" style="83" customWidth="1"/>
    <col min="9" max="9" width="21.875" style="83" customWidth="1"/>
    <col min="10" max="10" width="9.00390625" style="0" customWidth="1"/>
    <col min="17" max="17" width="9.75390625" style="0" bestFit="1" customWidth="1"/>
    <col min="21" max="21" width="9.75390625" style="0" bestFit="1" customWidth="1"/>
    <col min="29" max="29" width="9.75390625" style="0" bestFit="1" customWidth="1"/>
  </cols>
  <sheetData>
    <row r="1" spans="3:9" ht="20.25">
      <c r="C1" s="213"/>
      <c r="D1" s="213"/>
      <c r="E1" s="213"/>
      <c r="F1" s="213"/>
      <c r="G1" s="213"/>
      <c r="H1" s="600" t="s">
        <v>547</v>
      </c>
      <c r="I1" s="600"/>
    </row>
    <row r="2" ht="15.75">
      <c r="I2" s="3" t="s">
        <v>7</v>
      </c>
    </row>
    <row r="3" spans="8:9" ht="15.75">
      <c r="H3" s="3"/>
      <c r="I3" s="131"/>
    </row>
    <row r="4" spans="8:9" ht="15.75">
      <c r="H4" s="3"/>
      <c r="I4" s="131"/>
    </row>
    <row r="5" spans="2:9" ht="18.75">
      <c r="B5" s="222"/>
      <c r="C5" s="221"/>
      <c r="D5" s="221"/>
      <c r="E5" s="221"/>
      <c r="F5" s="221"/>
      <c r="G5" s="222"/>
      <c r="H5" s="672" t="s">
        <v>9</v>
      </c>
      <c r="I5" s="672"/>
    </row>
    <row r="6" spans="2:9" ht="18.75">
      <c r="B6" s="672" t="s">
        <v>416</v>
      </c>
      <c r="C6" s="672"/>
      <c r="D6" s="672"/>
      <c r="E6" s="672"/>
      <c r="F6" s="672"/>
      <c r="G6" s="672"/>
      <c r="H6" s="672"/>
      <c r="I6" s="672"/>
    </row>
    <row r="7" spans="2:9" ht="25.5" customHeight="1">
      <c r="B7" s="222"/>
      <c r="C7" s="221"/>
      <c r="D7" s="221"/>
      <c r="E7" s="221"/>
      <c r="F7" s="672"/>
      <c r="G7" s="672"/>
      <c r="H7" s="672"/>
      <c r="I7" s="672"/>
    </row>
    <row r="8" spans="2:9" ht="20.25" customHeight="1">
      <c r="B8" s="837" t="s">
        <v>315</v>
      </c>
      <c r="C8" s="838"/>
      <c r="D8" s="838"/>
      <c r="E8" s="838"/>
      <c r="F8" s="838"/>
      <c r="G8" s="838"/>
      <c r="H8" s="838"/>
      <c r="I8" s="838"/>
    </row>
    <row r="9" spans="2:9" ht="25.5" customHeight="1">
      <c r="B9" s="222"/>
      <c r="C9" s="221"/>
      <c r="D9" s="221"/>
      <c r="E9" s="221"/>
      <c r="F9" s="672" t="s">
        <v>10</v>
      </c>
      <c r="G9" s="672"/>
      <c r="H9" s="672"/>
      <c r="I9" s="672"/>
    </row>
    <row r="10" spans="7:8" ht="25.5" customHeight="1">
      <c r="G10" s="1"/>
      <c r="H10" s="1"/>
    </row>
    <row r="11" spans="7:9" ht="25.5" customHeight="1">
      <c r="G11" s="1"/>
      <c r="H11" s="1"/>
      <c r="I11" s="3"/>
    </row>
    <row r="12" spans="1:9" ht="42" customHeight="1">
      <c r="A12" s="836" t="s">
        <v>321</v>
      </c>
      <c r="B12" s="836"/>
      <c r="C12" s="836"/>
      <c r="D12" s="836"/>
      <c r="E12" s="836"/>
      <c r="F12" s="836"/>
      <c r="G12" s="836"/>
      <c r="H12" s="836"/>
      <c r="I12" s="836"/>
    </row>
    <row r="14" ht="15.75">
      <c r="I14" s="3" t="s">
        <v>519</v>
      </c>
    </row>
    <row r="16" spans="1:9" ht="15.75">
      <c r="A16" s="832" t="s">
        <v>63</v>
      </c>
      <c r="B16" s="832" t="s">
        <v>119</v>
      </c>
      <c r="C16" s="833">
        <v>2011</v>
      </c>
      <c r="D16" s="833">
        <v>2012</v>
      </c>
      <c r="E16" s="833">
        <v>2013</v>
      </c>
      <c r="F16" s="833">
        <v>2014</v>
      </c>
      <c r="G16" s="833" t="s">
        <v>451</v>
      </c>
      <c r="H16" s="833" t="s">
        <v>520</v>
      </c>
      <c r="I16" s="833" t="s">
        <v>517</v>
      </c>
    </row>
    <row r="17" spans="1:9" ht="15.75">
      <c r="A17" s="832"/>
      <c r="B17" s="832"/>
      <c r="C17" s="834"/>
      <c r="D17" s="834"/>
      <c r="E17" s="834"/>
      <c r="F17" s="834"/>
      <c r="G17" s="834"/>
      <c r="H17" s="834"/>
      <c r="I17" s="834"/>
    </row>
    <row r="18" spans="1:9" ht="15.75">
      <c r="A18" s="832"/>
      <c r="B18" s="832"/>
      <c r="C18" s="835"/>
      <c r="D18" s="835"/>
      <c r="E18" s="835"/>
      <c r="F18" s="835"/>
      <c r="G18" s="835"/>
      <c r="H18" s="835"/>
      <c r="I18" s="835"/>
    </row>
    <row r="19" spans="1:9" s="72" customFormat="1" ht="15.75">
      <c r="A19" s="103">
        <v>1</v>
      </c>
      <c r="B19" s="103">
        <v>2</v>
      </c>
      <c r="C19" s="243">
        <f aca="true" t="shared" si="0" ref="C19:I19">B19+1</f>
        <v>3</v>
      </c>
      <c r="D19" s="243">
        <f t="shared" si="0"/>
        <v>4</v>
      </c>
      <c r="E19" s="243">
        <f t="shared" si="0"/>
        <v>5</v>
      </c>
      <c r="F19" s="243">
        <f t="shared" si="0"/>
        <v>6</v>
      </c>
      <c r="G19" s="243">
        <f t="shared" si="0"/>
        <v>7</v>
      </c>
      <c r="H19" s="243">
        <f t="shared" si="0"/>
        <v>8</v>
      </c>
      <c r="I19" s="243">
        <f t="shared" si="0"/>
        <v>9</v>
      </c>
    </row>
    <row r="20" spans="1:9" s="72" customFormat="1" ht="15.75">
      <c r="A20" s="82" t="s">
        <v>120</v>
      </c>
      <c r="B20" s="74" t="s">
        <v>121</v>
      </c>
      <c r="C20" s="236">
        <f>C97</f>
        <v>64262</v>
      </c>
      <c r="D20" s="236">
        <f>D97</f>
        <v>83603</v>
      </c>
      <c r="E20" s="236">
        <f>E26+E50</f>
        <v>113570.8</v>
      </c>
      <c r="F20" s="236">
        <f>F22+F25</f>
        <v>162761</v>
      </c>
      <c r="G20" s="236">
        <f>G22+G25</f>
        <v>261965.08000000002</v>
      </c>
      <c r="H20" s="236">
        <f>H22+H25</f>
        <v>222383</v>
      </c>
      <c r="I20" s="236">
        <f>I22+I25</f>
        <v>208841.6</v>
      </c>
    </row>
    <row r="21" spans="1:9" s="72" customFormat="1" ht="15.75">
      <c r="A21" s="85"/>
      <c r="B21" s="73" t="s">
        <v>122</v>
      </c>
      <c r="C21" s="236"/>
      <c r="D21" s="236"/>
      <c r="E21" s="236"/>
      <c r="F21" s="236"/>
      <c r="G21" s="236"/>
      <c r="H21" s="236"/>
      <c r="I21" s="236"/>
    </row>
    <row r="22" spans="1:9" s="72" customFormat="1" ht="31.5">
      <c r="A22" s="85" t="s">
        <v>22</v>
      </c>
      <c r="B22" s="73" t="s">
        <v>322</v>
      </c>
      <c r="C22" s="238">
        <f>C20</f>
        <v>64262</v>
      </c>
      <c r="D22" s="238">
        <f>D20</f>
        <v>83603</v>
      </c>
      <c r="E22" s="238">
        <f>E23+E24</f>
        <v>198439</v>
      </c>
      <c r="F22" s="238">
        <f>F178</f>
        <v>162761</v>
      </c>
      <c r="G22" s="238">
        <f>G178</f>
        <v>261965.08000000002</v>
      </c>
      <c r="H22" s="238">
        <f>H27+H32+H33+H38+H39</f>
        <v>222383</v>
      </c>
      <c r="I22" s="238">
        <f>I27+I32+I33+I38+I39</f>
        <v>208841.6</v>
      </c>
    </row>
    <row r="23" spans="1:10" s="72" customFormat="1" ht="15.75" hidden="1">
      <c r="A23" s="173" t="s">
        <v>194</v>
      </c>
      <c r="B23" s="167" t="s">
        <v>281</v>
      </c>
      <c r="C23" s="238"/>
      <c r="D23" s="238"/>
      <c r="E23" s="238">
        <v>111607</v>
      </c>
      <c r="F23" s="238"/>
      <c r="G23" s="238"/>
      <c r="H23" s="238"/>
      <c r="I23" s="238"/>
      <c r="J23" s="388"/>
    </row>
    <row r="24" spans="1:10" s="72" customFormat="1" ht="15.75" hidden="1">
      <c r="A24" s="173" t="s">
        <v>196</v>
      </c>
      <c r="B24" s="167" t="s">
        <v>282</v>
      </c>
      <c r="C24" s="238"/>
      <c r="D24" s="238"/>
      <c r="E24" s="238">
        <v>86832</v>
      </c>
      <c r="F24" s="238"/>
      <c r="G24" s="238"/>
      <c r="H24" s="238"/>
      <c r="I24" s="238"/>
      <c r="J24" s="388"/>
    </row>
    <row r="25" spans="1:9" s="72" customFormat="1" ht="15.75">
      <c r="A25" s="85" t="s">
        <v>24</v>
      </c>
      <c r="B25" s="73" t="s">
        <v>323</v>
      </c>
      <c r="C25" s="236"/>
      <c r="D25" s="236"/>
      <c r="E25" s="236"/>
      <c r="F25" s="236"/>
      <c r="G25" s="236"/>
      <c r="H25" s="236"/>
      <c r="I25" s="236"/>
    </row>
    <row r="26" spans="1:9" s="72" customFormat="1" ht="15.75">
      <c r="A26" s="82" t="s">
        <v>125</v>
      </c>
      <c r="B26" s="74" t="s">
        <v>126</v>
      </c>
      <c r="C26" s="236">
        <f>C22-C50</f>
        <v>61256</v>
      </c>
      <c r="D26" s="236">
        <f>D22-D50</f>
        <v>83303</v>
      </c>
      <c r="E26" s="236">
        <f>E27+E32+E33+E38+E39</f>
        <v>112033.66</v>
      </c>
      <c r="F26" s="236">
        <f>F27+F32+F33+F38+F39</f>
        <v>124953.7</v>
      </c>
      <c r="G26" s="236">
        <f>G27+G32+G33+G38+G39</f>
        <v>198061.19</v>
      </c>
      <c r="H26" s="236">
        <f>H27+H32+H33+H38+H39-26607</f>
        <v>195776</v>
      </c>
      <c r="I26" s="236">
        <f>I27+I32+I33+I38+I39-5666-1</f>
        <v>203174.6</v>
      </c>
    </row>
    <row r="27" spans="1:9" s="72" customFormat="1" ht="15.75">
      <c r="A27" s="82" t="s">
        <v>66</v>
      </c>
      <c r="B27" s="74" t="s">
        <v>127</v>
      </c>
      <c r="C27" s="141">
        <f aca="true" t="shared" si="1" ref="C27:I27">C29+C30+C31</f>
        <v>21915</v>
      </c>
      <c r="D27" s="141">
        <f t="shared" si="1"/>
        <v>44639</v>
      </c>
      <c r="E27" s="141">
        <f t="shared" si="1"/>
        <v>67167.46</v>
      </c>
      <c r="F27" s="141">
        <f t="shared" si="1"/>
        <v>73274.7</v>
      </c>
      <c r="G27" s="141">
        <f t="shared" si="1"/>
        <v>90574</v>
      </c>
      <c r="H27" s="141">
        <f t="shared" si="1"/>
        <v>105180</v>
      </c>
      <c r="I27" s="141">
        <f t="shared" si="1"/>
        <v>107330</v>
      </c>
    </row>
    <row r="28" spans="1:9" s="72" customFormat="1" ht="15.75">
      <c r="A28" s="85"/>
      <c r="B28" s="73" t="s">
        <v>122</v>
      </c>
      <c r="C28" s="238"/>
      <c r="D28" s="238"/>
      <c r="E28" s="238"/>
      <c r="F28" s="238"/>
      <c r="G28" s="238"/>
      <c r="H28" s="238"/>
      <c r="I28" s="238"/>
    </row>
    <row r="29" spans="1:9" s="72" customFormat="1" ht="15.75">
      <c r="A29" s="85" t="s">
        <v>22</v>
      </c>
      <c r="B29" s="73" t="s">
        <v>128</v>
      </c>
      <c r="C29" s="238">
        <v>16180</v>
      </c>
      <c r="D29" s="238">
        <v>17853</v>
      </c>
      <c r="E29" s="238">
        <f>D29*1.02</f>
        <v>18210.06</v>
      </c>
      <c r="F29" s="238">
        <v>16470</v>
      </c>
      <c r="G29" s="238">
        <v>8475</v>
      </c>
      <c r="H29" s="238">
        <v>7727</v>
      </c>
      <c r="I29" s="238">
        <v>7213</v>
      </c>
    </row>
    <row r="30" spans="1:9" s="72" customFormat="1" ht="15.75">
      <c r="A30" s="85" t="s">
        <v>24</v>
      </c>
      <c r="B30" s="73" t="s">
        <v>129</v>
      </c>
      <c r="C30" s="238">
        <v>5611</v>
      </c>
      <c r="D30" s="238">
        <v>5870</v>
      </c>
      <c r="E30" s="238">
        <f>D30*1.02</f>
        <v>5987.400000000001</v>
      </c>
      <c r="F30" s="238">
        <v>8356</v>
      </c>
      <c r="G30" s="238">
        <v>11614</v>
      </c>
      <c r="H30" s="238">
        <v>9511</v>
      </c>
      <c r="I30" s="238">
        <v>17986</v>
      </c>
    </row>
    <row r="31" spans="1:11" s="72" customFormat="1" ht="15.75">
      <c r="A31" s="85" t="s">
        <v>25</v>
      </c>
      <c r="B31" s="73" t="s">
        <v>130</v>
      </c>
      <c r="C31" s="238">
        <v>124</v>
      </c>
      <c r="D31" s="238">
        <v>20916</v>
      </c>
      <c r="E31" s="238">
        <v>42970</v>
      </c>
      <c r="F31" s="238">
        <v>48448.7</v>
      </c>
      <c r="G31" s="238">
        <v>70485</v>
      </c>
      <c r="H31" s="238">
        <v>87942</v>
      </c>
      <c r="I31" s="238">
        <v>82131</v>
      </c>
      <c r="J31" s="306"/>
      <c r="K31" s="344"/>
    </row>
    <row r="32" spans="1:11" s="72" customFormat="1" ht="15.75">
      <c r="A32" s="82" t="s">
        <v>29</v>
      </c>
      <c r="B32" s="74" t="s">
        <v>131</v>
      </c>
      <c r="C32" s="236">
        <f>23680+5503</f>
        <v>29183</v>
      </c>
      <c r="D32" s="236">
        <f>26784+6452</f>
        <v>33236</v>
      </c>
      <c r="E32" s="236">
        <f>D32*1.02</f>
        <v>33900.72</v>
      </c>
      <c r="F32" s="236">
        <v>42765</v>
      </c>
      <c r="G32" s="236">
        <f>57050+18940</f>
        <v>75990</v>
      </c>
      <c r="H32" s="236">
        <f>48305+12576</f>
        <v>60881</v>
      </c>
      <c r="I32" s="236">
        <f>57472+14797</f>
        <v>72269</v>
      </c>
      <c r="J32" s="306"/>
      <c r="K32" s="344"/>
    </row>
    <row r="33" spans="1:11" s="72" customFormat="1" ht="15.75">
      <c r="A33" s="82" t="s">
        <v>132</v>
      </c>
      <c r="B33" s="74" t="s">
        <v>133</v>
      </c>
      <c r="C33" s="236">
        <v>3962</v>
      </c>
      <c r="D33" s="236">
        <v>4773</v>
      </c>
      <c r="E33" s="240">
        <v>4617</v>
      </c>
      <c r="F33" s="240">
        <v>6263</v>
      </c>
      <c r="G33" s="240">
        <f>'приложение 4.2 2013-2017 свод'!F26</f>
        <v>0</v>
      </c>
      <c r="H33" s="240">
        <v>6796</v>
      </c>
      <c r="I33" s="240">
        <v>15663</v>
      </c>
      <c r="J33" s="306"/>
      <c r="K33" s="344"/>
    </row>
    <row r="34" spans="1:11" s="72" customFormat="1" ht="31.5">
      <c r="A34" s="82"/>
      <c r="B34" s="73" t="s">
        <v>521</v>
      </c>
      <c r="C34" s="238"/>
      <c r="D34" s="238"/>
      <c r="E34" s="233"/>
      <c r="F34" s="233"/>
      <c r="G34" s="233"/>
      <c r="H34" s="233">
        <f>8019/1.18</f>
        <v>6795.762711864407</v>
      </c>
      <c r="I34" s="233">
        <f>14574/1.18</f>
        <v>12350.84745762712</v>
      </c>
      <c r="J34" s="306"/>
      <c r="K34" s="344"/>
    </row>
    <row r="35" spans="1:11" s="63" customFormat="1" ht="15.75" customHeight="1">
      <c r="A35" s="85" t="s">
        <v>111</v>
      </c>
      <c r="B35" s="73" t="s">
        <v>257</v>
      </c>
      <c r="C35" s="238">
        <f>C36+C37</f>
        <v>0</v>
      </c>
      <c r="D35" s="238">
        <f>D36+D37</f>
        <v>0</v>
      </c>
      <c r="E35" s="238"/>
      <c r="F35" s="238">
        <f>F36+F37</f>
        <v>135</v>
      </c>
      <c r="G35" s="238"/>
      <c r="H35" s="238">
        <v>0</v>
      </c>
      <c r="I35" s="238">
        <v>0</v>
      </c>
      <c r="J35" s="397"/>
      <c r="K35" s="398"/>
    </row>
    <row r="36" spans="1:11" s="176" customFormat="1" ht="15.75" customHeight="1">
      <c r="A36" s="173" t="s">
        <v>283</v>
      </c>
      <c r="B36" s="167" t="s">
        <v>281</v>
      </c>
      <c r="C36" s="239"/>
      <c r="D36" s="239"/>
      <c r="E36" s="239"/>
      <c r="F36" s="239">
        <f>'приложение 4.2 2016-2017 ген'!D28</f>
        <v>126.5</v>
      </c>
      <c r="G36" s="239"/>
      <c r="H36" s="239" t="str">
        <f>'приложение 4.2 2016-2017 ген'!G28</f>
        <v>0 *</v>
      </c>
      <c r="I36" s="239" t="str">
        <f>'приложение 4.2 2016-2017 ген'!G28</f>
        <v>0 *</v>
      </c>
      <c r="J36" s="399"/>
      <c r="K36" s="400"/>
    </row>
    <row r="37" spans="1:11" s="176" customFormat="1" ht="15.75" customHeight="1">
      <c r="A37" s="173" t="s">
        <v>284</v>
      </c>
      <c r="B37" s="167" t="s">
        <v>282</v>
      </c>
      <c r="C37" s="239"/>
      <c r="D37" s="239"/>
      <c r="E37" s="239"/>
      <c r="F37" s="239">
        <f>'приложение 4.2 2016-2017 тр'!D27</f>
        <v>8.5</v>
      </c>
      <c r="G37" s="239"/>
      <c r="H37" s="239" t="str">
        <f>'приложение 4.2 2016-2017 тр'!G27</f>
        <v>0 *</v>
      </c>
      <c r="I37" s="239" t="str">
        <f>'приложение 4.2 2016-2017 тр'!G27</f>
        <v>0 *</v>
      </c>
      <c r="J37" s="399"/>
      <c r="K37" s="400"/>
    </row>
    <row r="38" spans="1:11" s="72" customFormat="1" ht="15.75">
      <c r="A38" s="82" t="s">
        <v>134</v>
      </c>
      <c r="B38" s="74" t="s">
        <v>135</v>
      </c>
      <c r="C38" s="236">
        <f>16+147+8+399</f>
        <v>570</v>
      </c>
      <c r="D38" s="236">
        <f>16+147+8+554</f>
        <v>725</v>
      </c>
      <c r="E38" s="236">
        <f>D38*1.02</f>
        <v>739.5</v>
      </c>
      <c r="F38" s="236">
        <v>976</v>
      </c>
      <c r="G38" s="236">
        <v>943</v>
      </c>
      <c r="H38" s="236">
        <v>1932</v>
      </c>
      <c r="I38" s="236">
        <v>2193</v>
      </c>
      <c r="J38" s="306"/>
      <c r="K38" s="344"/>
    </row>
    <row r="39" spans="1:11" s="72" customFormat="1" ht="15.75">
      <c r="A39" s="82" t="s">
        <v>136</v>
      </c>
      <c r="B39" s="74" t="s">
        <v>137</v>
      </c>
      <c r="C39" s="141">
        <f aca="true" t="shared" si="2" ref="C39:I39">C41+C42+C43</f>
        <v>5626</v>
      </c>
      <c r="D39" s="141">
        <f t="shared" si="2"/>
        <v>-70</v>
      </c>
      <c r="E39" s="141">
        <f t="shared" si="2"/>
        <v>5608.9800000000005</v>
      </c>
      <c r="F39" s="141">
        <f t="shared" si="2"/>
        <v>1675</v>
      </c>
      <c r="G39" s="141">
        <f t="shared" si="2"/>
        <v>30554.19</v>
      </c>
      <c r="H39" s="141">
        <f t="shared" si="2"/>
        <v>47594</v>
      </c>
      <c r="I39" s="141">
        <f t="shared" si="2"/>
        <v>11386.599999999999</v>
      </c>
      <c r="J39" s="306"/>
      <c r="K39" s="344"/>
    </row>
    <row r="40" spans="1:11" s="72" customFormat="1" ht="15.75">
      <c r="A40" s="85"/>
      <c r="B40" s="73" t="s">
        <v>122</v>
      </c>
      <c r="C40" s="238"/>
      <c r="D40" s="238"/>
      <c r="E40" s="238"/>
      <c r="F40" s="238"/>
      <c r="G40" s="238"/>
      <c r="H40" s="238"/>
      <c r="I40" s="238"/>
      <c r="J40" s="306"/>
      <c r="K40" s="344"/>
    </row>
    <row r="41" spans="1:11" s="72" customFormat="1" ht="15.75">
      <c r="A41" s="85" t="s">
        <v>112</v>
      </c>
      <c r="B41" s="73" t="s">
        <v>223</v>
      </c>
      <c r="C41" s="238">
        <v>2850</v>
      </c>
      <c r="D41" s="238">
        <v>2995</v>
      </c>
      <c r="E41" s="238">
        <f>D41*1.02</f>
        <v>3054.9</v>
      </c>
      <c r="F41" s="238">
        <v>4821</v>
      </c>
      <c r="G41" s="238">
        <v>8282</v>
      </c>
      <c r="H41" s="238">
        <v>11608</v>
      </c>
      <c r="I41" s="238">
        <v>16753</v>
      </c>
      <c r="J41" s="401"/>
      <c r="K41" s="344"/>
    </row>
    <row r="42" spans="1:11" s="72" customFormat="1" ht="15.75">
      <c r="A42" s="85" t="s">
        <v>113</v>
      </c>
      <c r="B42" s="73" t="s">
        <v>138</v>
      </c>
      <c r="C42" s="238">
        <v>412</v>
      </c>
      <c r="D42" s="238">
        <v>140</v>
      </c>
      <c r="E42" s="238">
        <f>D42*1.02</f>
        <v>142.8</v>
      </c>
      <c r="F42" s="238">
        <v>368</v>
      </c>
      <c r="G42" s="238">
        <v>7037</v>
      </c>
      <c r="H42" s="238">
        <v>994</v>
      </c>
      <c r="I42" s="238">
        <v>1334</v>
      </c>
      <c r="J42" s="306"/>
      <c r="K42" s="344"/>
    </row>
    <row r="43" spans="1:11" s="156" customFormat="1" ht="31.5">
      <c r="A43" s="93" t="s">
        <v>114</v>
      </c>
      <c r="B43" s="89" t="s">
        <v>319</v>
      </c>
      <c r="C43" s="233">
        <f>C26-C27-C32-C33-C38-C41-C42</f>
        <v>2364</v>
      </c>
      <c r="D43" s="233">
        <f>D26-D27-D32-D33-D38-D41-D42</f>
        <v>-3205</v>
      </c>
      <c r="E43" s="233">
        <f>C43*1.02</f>
        <v>2411.28</v>
      </c>
      <c r="F43" s="233">
        <v>-3514</v>
      </c>
      <c r="G43" s="233">
        <f>22503+712.19-G38-G42</f>
        <v>15235.189999999999</v>
      </c>
      <c r="H43" s="233">
        <f>9926+18607-20148+26607</f>
        <v>34992</v>
      </c>
      <c r="I43" s="233">
        <f>10413.3+22713.3-45493+5666</f>
        <v>-6700.4000000000015</v>
      </c>
      <c r="J43" s="402"/>
      <c r="K43" s="403"/>
    </row>
    <row r="44" spans="1:11" s="156" customFormat="1" ht="63" customHeight="1">
      <c r="A44" s="93" t="s">
        <v>115</v>
      </c>
      <c r="B44" s="89" t="s">
        <v>273</v>
      </c>
      <c r="C44" s="233"/>
      <c r="D44" s="233"/>
      <c r="E44" s="233">
        <f>E47</f>
        <v>17</v>
      </c>
      <c r="F44" s="233"/>
      <c r="G44" s="233"/>
      <c r="H44" s="233"/>
      <c r="I44" s="233"/>
      <c r="J44" s="404"/>
      <c r="K44" s="403"/>
    </row>
    <row r="45" spans="1:11" s="171" customFormat="1" ht="15.75">
      <c r="A45" s="166" t="s">
        <v>287</v>
      </c>
      <c r="B45" s="167" t="s">
        <v>281</v>
      </c>
      <c r="C45" s="241"/>
      <c r="D45" s="241"/>
      <c r="E45" s="241">
        <f>E48</f>
        <v>0</v>
      </c>
      <c r="F45" s="241"/>
      <c r="G45" s="241"/>
      <c r="H45" s="241"/>
      <c r="I45" s="241"/>
      <c r="J45" s="405"/>
      <c r="K45" s="406"/>
    </row>
    <row r="46" spans="1:11" s="171" customFormat="1" ht="15.75">
      <c r="A46" s="166" t="s">
        <v>288</v>
      </c>
      <c r="B46" s="167" t="s">
        <v>282</v>
      </c>
      <c r="C46" s="241"/>
      <c r="D46" s="241"/>
      <c r="E46" s="241">
        <f>E49</f>
        <v>17</v>
      </c>
      <c r="F46" s="241"/>
      <c r="G46" s="241"/>
      <c r="H46" s="241"/>
      <c r="I46" s="241"/>
      <c r="J46" s="405"/>
      <c r="K46" s="406"/>
    </row>
    <row r="47" spans="1:11" s="156" customFormat="1" ht="15.75" hidden="1">
      <c r="A47" s="93" t="s">
        <v>116</v>
      </c>
      <c r="B47" s="89" t="s">
        <v>272</v>
      </c>
      <c r="C47" s="233"/>
      <c r="D47" s="233"/>
      <c r="E47" s="233">
        <f>E48+E49</f>
        <v>17</v>
      </c>
      <c r="F47" s="233"/>
      <c r="G47" s="233"/>
      <c r="H47" s="233"/>
      <c r="I47" s="233"/>
      <c r="J47" s="407"/>
      <c r="K47" s="403"/>
    </row>
    <row r="48" spans="1:11" s="171" customFormat="1" ht="15.75" hidden="1">
      <c r="A48" s="166" t="s">
        <v>285</v>
      </c>
      <c r="B48" s="167" t="s">
        <v>281</v>
      </c>
      <c r="C48" s="241"/>
      <c r="D48" s="241"/>
      <c r="E48" s="241"/>
      <c r="F48" s="241"/>
      <c r="G48" s="241"/>
      <c r="H48" s="241"/>
      <c r="I48" s="241"/>
      <c r="J48" s="408"/>
      <c r="K48" s="406"/>
    </row>
    <row r="49" spans="1:11" s="171" customFormat="1" ht="15.75" hidden="1">
      <c r="A49" s="166" t="s">
        <v>286</v>
      </c>
      <c r="B49" s="167" t="s">
        <v>282</v>
      </c>
      <c r="C49" s="241"/>
      <c r="D49" s="241"/>
      <c r="E49" s="241">
        <v>17</v>
      </c>
      <c r="F49" s="241"/>
      <c r="G49" s="241"/>
      <c r="H49" s="241"/>
      <c r="I49" s="241"/>
      <c r="J49" s="408"/>
      <c r="K49" s="406"/>
    </row>
    <row r="50" spans="1:11" s="72" customFormat="1" ht="15.75">
      <c r="A50" s="82" t="s">
        <v>139</v>
      </c>
      <c r="B50" s="74" t="s">
        <v>140</v>
      </c>
      <c r="C50" s="236">
        <f>C58+C61</f>
        <v>3006</v>
      </c>
      <c r="D50" s="236">
        <f>D58+D61</f>
        <v>300</v>
      </c>
      <c r="E50" s="236">
        <f>E58+E61</f>
        <v>1537.14</v>
      </c>
      <c r="F50" s="236">
        <f>F20-F26</f>
        <v>37807.3</v>
      </c>
      <c r="G50" s="236">
        <f>G63+G58</f>
        <v>63903.89</v>
      </c>
      <c r="H50" s="236">
        <f>H61</f>
        <v>26607</v>
      </c>
      <c r="I50" s="236">
        <f>I61</f>
        <v>5666.3</v>
      </c>
      <c r="J50" s="306"/>
      <c r="K50" s="344"/>
    </row>
    <row r="51" spans="1:11" s="72" customFormat="1" ht="15.75">
      <c r="A51" s="82" t="s">
        <v>141</v>
      </c>
      <c r="B51" s="74" t="s">
        <v>142</v>
      </c>
      <c r="C51" s="141">
        <f>C52-C56</f>
        <v>-1197</v>
      </c>
      <c r="D51" s="141">
        <f>D52-D56</f>
        <v>0</v>
      </c>
      <c r="E51" s="141">
        <f>E52-E56</f>
        <v>0</v>
      </c>
      <c r="F51" s="141">
        <f>F52-F56</f>
        <v>-920</v>
      </c>
      <c r="G51" s="141"/>
      <c r="H51" s="141"/>
      <c r="I51" s="141"/>
      <c r="J51" s="306"/>
      <c r="K51" s="344"/>
    </row>
    <row r="52" spans="1:11" s="72" customFormat="1" ht="15.75">
      <c r="A52" s="85" t="s">
        <v>66</v>
      </c>
      <c r="B52" s="73" t="s">
        <v>143</v>
      </c>
      <c r="C52" s="238"/>
      <c r="D52" s="238"/>
      <c r="E52" s="238"/>
      <c r="F52" s="238"/>
      <c r="G52" s="238"/>
      <c r="H52" s="238"/>
      <c r="I52" s="238"/>
      <c r="J52" s="306"/>
      <c r="K52" s="344"/>
    </row>
    <row r="53" spans="1:11" s="72" customFormat="1" ht="15.75" customHeight="1" hidden="1">
      <c r="A53" s="85"/>
      <c r="B53" s="73" t="s">
        <v>144</v>
      </c>
      <c r="C53" s="238"/>
      <c r="D53" s="238"/>
      <c r="E53" s="238"/>
      <c r="F53" s="238"/>
      <c r="G53" s="238"/>
      <c r="H53" s="238"/>
      <c r="I53" s="238"/>
      <c r="J53" s="306"/>
      <c r="K53" s="344"/>
    </row>
    <row r="54" spans="1:11" s="72" customFormat="1" ht="31.5" customHeight="1" hidden="1">
      <c r="A54" s="85" t="s">
        <v>22</v>
      </c>
      <c r="B54" s="73" t="s">
        <v>145</v>
      </c>
      <c r="C54" s="238"/>
      <c r="D54" s="238"/>
      <c r="E54" s="238"/>
      <c r="F54" s="238"/>
      <c r="G54" s="238"/>
      <c r="H54" s="238"/>
      <c r="I54" s="238"/>
      <c r="J54" s="306"/>
      <c r="K54" s="344"/>
    </row>
    <row r="55" spans="1:11" s="72" customFormat="1" ht="15.75" customHeight="1" hidden="1">
      <c r="A55" s="85" t="s">
        <v>24</v>
      </c>
      <c r="B55" s="75" t="s">
        <v>146</v>
      </c>
      <c r="C55" s="238"/>
      <c r="D55" s="238"/>
      <c r="E55" s="238"/>
      <c r="F55" s="238"/>
      <c r="G55" s="238"/>
      <c r="H55" s="238"/>
      <c r="I55" s="238"/>
      <c r="J55" s="306"/>
      <c r="K55" s="344"/>
    </row>
    <row r="56" spans="1:11" s="72" customFormat="1" ht="15.75">
      <c r="A56" s="85" t="s">
        <v>29</v>
      </c>
      <c r="B56" s="73" t="s">
        <v>147</v>
      </c>
      <c r="C56" s="237">
        <f>C58</f>
        <v>1197</v>
      </c>
      <c r="D56" s="237">
        <f>D58</f>
        <v>0</v>
      </c>
      <c r="E56" s="237">
        <f>E58</f>
        <v>0</v>
      </c>
      <c r="F56" s="237">
        <f>F58</f>
        <v>920</v>
      </c>
      <c r="G56" s="237"/>
      <c r="H56" s="237"/>
      <c r="I56" s="237"/>
      <c r="J56" s="306"/>
      <c r="K56" s="344"/>
    </row>
    <row r="57" spans="1:11" s="72" customFormat="1" ht="15.75">
      <c r="A57" s="85"/>
      <c r="B57" s="73" t="s">
        <v>144</v>
      </c>
      <c r="C57" s="238"/>
      <c r="D57" s="238"/>
      <c r="E57" s="238"/>
      <c r="F57" s="238"/>
      <c r="G57" s="238"/>
      <c r="H57" s="238"/>
      <c r="I57" s="238"/>
      <c r="J57" s="306"/>
      <c r="K57" s="344"/>
    </row>
    <row r="58" spans="1:11" s="72" customFormat="1" ht="15.75">
      <c r="A58" s="85" t="s">
        <v>31</v>
      </c>
      <c r="B58" s="73" t="s">
        <v>148</v>
      </c>
      <c r="C58" s="238">
        <v>1197</v>
      </c>
      <c r="D58" s="238"/>
      <c r="E58" s="238">
        <f>E59+E60</f>
        <v>0</v>
      </c>
      <c r="F58" s="238">
        <v>920</v>
      </c>
      <c r="G58" s="238"/>
      <c r="H58" s="238"/>
      <c r="I58" s="238"/>
      <c r="J58" s="401"/>
      <c r="K58" s="344"/>
    </row>
    <row r="59" spans="1:11" s="72" customFormat="1" ht="15.75" hidden="1">
      <c r="A59" s="173" t="s">
        <v>324</v>
      </c>
      <c r="B59" s="167" t="s">
        <v>281</v>
      </c>
      <c r="C59" s="238"/>
      <c r="D59" s="238"/>
      <c r="E59" s="238">
        <f>E157</f>
        <v>0</v>
      </c>
      <c r="F59" s="238"/>
      <c r="G59" s="238"/>
      <c r="H59" s="238"/>
      <c r="I59" s="238"/>
      <c r="J59" s="306"/>
      <c r="K59" s="344"/>
    </row>
    <row r="60" spans="1:11" s="72" customFormat="1" ht="15.75" hidden="1">
      <c r="A60" s="173" t="s">
        <v>325</v>
      </c>
      <c r="B60" s="167" t="s">
        <v>282</v>
      </c>
      <c r="C60" s="238"/>
      <c r="D60" s="238"/>
      <c r="E60" s="238">
        <f>E158</f>
        <v>0</v>
      </c>
      <c r="F60" s="238"/>
      <c r="G60" s="238"/>
      <c r="H60" s="238"/>
      <c r="I60" s="238"/>
      <c r="J60" s="306"/>
      <c r="K60" s="344"/>
    </row>
    <row r="61" spans="1:11" s="72" customFormat="1" ht="15.75">
      <c r="A61" s="82" t="s">
        <v>149</v>
      </c>
      <c r="B61" s="74" t="s">
        <v>454</v>
      </c>
      <c r="C61" s="141">
        <f>C62+C63</f>
        <v>1809</v>
      </c>
      <c r="D61" s="141">
        <f>D62+D63</f>
        <v>300</v>
      </c>
      <c r="E61" s="141">
        <f>E62+E63</f>
        <v>1537.14</v>
      </c>
      <c r="F61" s="141">
        <f>F50+F51</f>
        <v>36887.3</v>
      </c>
      <c r="G61" s="141">
        <f>G50+G51</f>
        <v>63903.89</v>
      </c>
      <c r="H61" s="141">
        <f>H62+H63</f>
        <v>26607</v>
      </c>
      <c r="I61" s="141">
        <f>I62+I63</f>
        <v>5666.3</v>
      </c>
      <c r="J61" s="306"/>
      <c r="K61" s="344"/>
    </row>
    <row r="62" spans="1:11" s="72" customFormat="1" ht="15.75">
      <c r="A62" s="82" t="s">
        <v>151</v>
      </c>
      <c r="B62" s="74" t="s">
        <v>102</v>
      </c>
      <c r="C62" s="236">
        <v>362</v>
      </c>
      <c r="D62" s="236">
        <v>60</v>
      </c>
      <c r="E62" s="236">
        <f>D62*1.02</f>
        <v>61.2</v>
      </c>
      <c r="F62" s="236">
        <f>F61*0.2</f>
        <v>7377.460000000001</v>
      </c>
      <c r="G62" s="236">
        <f>G61*0.2</f>
        <v>12780.778</v>
      </c>
      <c r="H62" s="236">
        <v>5321</v>
      </c>
      <c r="I62" s="236">
        <v>5523.3</v>
      </c>
      <c r="J62" s="306"/>
      <c r="K62" s="344"/>
    </row>
    <row r="63" spans="1:11" s="72" customFormat="1" ht="15.75">
      <c r="A63" s="82" t="s">
        <v>152</v>
      </c>
      <c r="B63" s="74" t="s">
        <v>153</v>
      </c>
      <c r="C63" s="236">
        <f aca="true" t="shared" si="3" ref="C63:I63">C64</f>
        <v>1447</v>
      </c>
      <c r="D63" s="236">
        <f t="shared" si="3"/>
        <v>240</v>
      </c>
      <c r="E63" s="236">
        <f t="shared" si="3"/>
        <v>1475.94</v>
      </c>
      <c r="F63" s="236">
        <f t="shared" si="3"/>
        <v>26700</v>
      </c>
      <c r="G63" s="236">
        <f t="shared" si="3"/>
        <v>63903.89</v>
      </c>
      <c r="H63" s="236">
        <f>20839+447</f>
        <v>21286</v>
      </c>
      <c r="I63" s="236">
        <f t="shared" si="3"/>
        <v>143</v>
      </c>
      <c r="J63" s="445"/>
      <c r="K63" s="344"/>
    </row>
    <row r="64" spans="1:11" s="72" customFormat="1" ht="15.75">
      <c r="A64" s="82" t="s">
        <v>154</v>
      </c>
      <c r="B64" s="74" t="s">
        <v>155</v>
      </c>
      <c r="C64" s="236">
        <f aca="true" t="shared" si="4" ref="C64:I64">C69</f>
        <v>1447</v>
      </c>
      <c r="D64" s="236">
        <f t="shared" si="4"/>
        <v>240</v>
      </c>
      <c r="E64" s="236">
        <f t="shared" si="4"/>
        <v>1475.94</v>
      </c>
      <c r="F64" s="236">
        <f t="shared" si="4"/>
        <v>26700</v>
      </c>
      <c r="G64" s="236">
        <f t="shared" si="4"/>
        <v>63903.89</v>
      </c>
      <c r="H64" s="236">
        <f>H63</f>
        <v>21286</v>
      </c>
      <c r="I64" s="236">
        <f t="shared" si="4"/>
        <v>143</v>
      </c>
      <c r="J64" s="445"/>
      <c r="K64" s="344"/>
    </row>
    <row r="65" spans="1:11" s="72" customFormat="1" ht="15.75">
      <c r="A65" s="85"/>
      <c r="B65" s="73" t="s">
        <v>122</v>
      </c>
      <c r="C65" s="238"/>
      <c r="D65" s="238"/>
      <c r="E65" s="238"/>
      <c r="F65" s="238"/>
      <c r="G65" s="238"/>
      <c r="H65" s="238"/>
      <c r="I65" s="238"/>
      <c r="J65" s="306"/>
      <c r="K65" s="344"/>
    </row>
    <row r="66" spans="1:11" s="72" customFormat="1" ht="15.75">
      <c r="A66" s="85" t="s">
        <v>66</v>
      </c>
      <c r="B66" s="73" t="s">
        <v>156</v>
      </c>
      <c r="C66" s="238"/>
      <c r="D66" s="238"/>
      <c r="E66" s="238"/>
      <c r="F66" s="238"/>
      <c r="G66" s="238"/>
      <c r="H66" s="238"/>
      <c r="I66" s="238"/>
      <c r="J66" s="306"/>
      <c r="K66" s="344"/>
    </row>
    <row r="67" spans="1:11" s="72" customFormat="1" ht="15.75">
      <c r="A67" s="104" t="s">
        <v>29</v>
      </c>
      <c r="B67" s="73" t="s">
        <v>157</v>
      </c>
      <c r="C67" s="238"/>
      <c r="D67" s="238"/>
      <c r="E67" s="238"/>
      <c r="F67" s="238"/>
      <c r="G67" s="238"/>
      <c r="H67" s="238"/>
      <c r="I67" s="238"/>
      <c r="J67" s="306"/>
      <c r="K67" s="344"/>
    </row>
    <row r="68" spans="1:11" s="72" customFormat="1" ht="15.75">
      <c r="A68" s="85" t="s">
        <v>132</v>
      </c>
      <c r="B68" s="73" t="s">
        <v>158</v>
      </c>
      <c r="C68" s="238"/>
      <c r="D68" s="238"/>
      <c r="E68" s="238"/>
      <c r="F68" s="238"/>
      <c r="G68" s="238"/>
      <c r="H68" s="238"/>
      <c r="I68" s="238"/>
      <c r="J68" s="306"/>
      <c r="K68" s="344"/>
    </row>
    <row r="69" spans="1:11" s="72" customFormat="1" ht="15.75">
      <c r="A69" s="85" t="s">
        <v>134</v>
      </c>
      <c r="B69" s="73" t="s">
        <v>159</v>
      </c>
      <c r="C69" s="238">
        <f>228+1219</f>
        <v>1447</v>
      </c>
      <c r="D69" s="238">
        <v>240</v>
      </c>
      <c r="E69" s="238">
        <f>C69*1.02</f>
        <v>1475.94</v>
      </c>
      <c r="F69" s="238">
        <v>26700</v>
      </c>
      <c r="G69" s="238">
        <v>63903.89</v>
      </c>
      <c r="H69" s="238">
        <v>26607</v>
      </c>
      <c r="I69" s="238">
        <v>143</v>
      </c>
      <c r="J69" s="306"/>
      <c r="K69" s="344"/>
    </row>
    <row r="70" spans="1:11" s="72" customFormat="1" ht="15.75" customHeight="1" hidden="1">
      <c r="A70" s="82" t="s">
        <v>160</v>
      </c>
      <c r="B70" s="74" t="s">
        <v>161</v>
      </c>
      <c r="C70" s="236"/>
      <c r="D70" s="236"/>
      <c r="E70" s="236"/>
      <c r="F70" s="236"/>
      <c r="G70" s="236"/>
      <c r="H70" s="236"/>
      <c r="I70" s="236"/>
      <c r="J70" s="306"/>
      <c r="K70" s="344"/>
    </row>
    <row r="71" spans="1:11" s="63" customFormat="1" ht="15.75" customHeight="1" hidden="1">
      <c r="A71" s="85" t="s">
        <v>66</v>
      </c>
      <c r="B71" s="76" t="s">
        <v>162</v>
      </c>
      <c r="C71" s="238"/>
      <c r="D71" s="238"/>
      <c r="E71" s="238"/>
      <c r="F71" s="238"/>
      <c r="G71" s="238"/>
      <c r="H71" s="238"/>
      <c r="I71" s="238"/>
      <c r="J71" s="397"/>
      <c r="K71" s="398"/>
    </row>
    <row r="72" spans="1:11" s="63" customFormat="1" ht="15.75" customHeight="1" hidden="1">
      <c r="A72" s="85" t="s">
        <v>29</v>
      </c>
      <c r="B72" s="73" t="s">
        <v>163</v>
      </c>
      <c r="C72" s="238"/>
      <c r="D72" s="238"/>
      <c r="E72" s="238"/>
      <c r="F72" s="238"/>
      <c r="G72" s="238"/>
      <c r="H72" s="238"/>
      <c r="I72" s="238"/>
      <c r="J72" s="397"/>
      <c r="K72" s="398"/>
    </row>
    <row r="73" spans="1:11" s="63" customFormat="1" ht="15.75" customHeight="1" hidden="1">
      <c r="A73" s="85"/>
      <c r="B73" s="73" t="s">
        <v>164</v>
      </c>
      <c r="C73" s="238"/>
      <c r="D73" s="238"/>
      <c r="E73" s="238"/>
      <c r="F73" s="238"/>
      <c r="G73" s="238"/>
      <c r="H73" s="238"/>
      <c r="I73" s="238"/>
      <c r="J73" s="397"/>
      <c r="K73" s="398"/>
    </row>
    <row r="74" spans="1:11" s="72" customFormat="1" ht="15.75" customHeight="1" hidden="1">
      <c r="A74" s="82" t="s">
        <v>165</v>
      </c>
      <c r="B74" s="74" t="s">
        <v>166</v>
      </c>
      <c r="C74" s="236"/>
      <c r="D74" s="236"/>
      <c r="E74" s="236"/>
      <c r="F74" s="236"/>
      <c r="G74" s="236"/>
      <c r="H74" s="236"/>
      <c r="I74" s="236"/>
      <c r="J74" s="306"/>
      <c r="K74" s="344"/>
    </row>
    <row r="75" spans="1:11" s="63" customFormat="1" ht="15.75" customHeight="1" hidden="1">
      <c r="A75" s="85" t="s">
        <v>66</v>
      </c>
      <c r="B75" s="76" t="s">
        <v>167</v>
      </c>
      <c r="C75" s="238"/>
      <c r="D75" s="238"/>
      <c r="E75" s="238"/>
      <c r="F75" s="238"/>
      <c r="G75" s="238"/>
      <c r="H75" s="238"/>
      <c r="I75" s="238"/>
      <c r="J75" s="397"/>
      <c r="K75" s="398"/>
    </row>
    <row r="76" spans="1:11" s="63" customFormat="1" ht="15.75" customHeight="1" hidden="1">
      <c r="A76" s="85" t="s">
        <v>29</v>
      </c>
      <c r="B76" s="73" t="s">
        <v>168</v>
      </c>
      <c r="C76" s="238"/>
      <c r="D76" s="238"/>
      <c r="E76" s="238"/>
      <c r="F76" s="238"/>
      <c r="G76" s="238"/>
      <c r="H76" s="238"/>
      <c r="I76" s="238"/>
      <c r="J76" s="397"/>
      <c r="K76" s="398"/>
    </row>
    <row r="77" spans="1:9" s="63" customFormat="1" ht="15.75" customHeight="1" hidden="1">
      <c r="A77" s="85"/>
      <c r="B77" s="73" t="s">
        <v>164</v>
      </c>
      <c r="C77" s="238"/>
      <c r="D77" s="238"/>
      <c r="E77" s="238"/>
      <c r="F77" s="238"/>
      <c r="G77" s="238"/>
      <c r="H77" s="238"/>
      <c r="I77" s="238"/>
    </row>
    <row r="78" spans="1:9" s="72" customFormat="1" ht="15.75" customHeight="1" hidden="1">
      <c r="A78" s="306"/>
      <c r="B78" s="344"/>
      <c r="C78" s="142"/>
      <c r="D78" s="142"/>
      <c r="E78" s="142"/>
      <c r="F78" s="142"/>
      <c r="G78" s="142"/>
      <c r="H78" s="142"/>
      <c r="I78" s="142"/>
    </row>
    <row r="79" spans="1:9" s="72" customFormat="1" ht="15.75" customHeight="1" hidden="1">
      <c r="A79" s="306"/>
      <c r="B79" s="344"/>
      <c r="C79" s="142"/>
      <c r="D79" s="142"/>
      <c r="E79" s="142"/>
      <c r="F79" s="142"/>
      <c r="G79" s="142"/>
      <c r="H79" s="142"/>
      <c r="I79" s="142"/>
    </row>
    <row r="80" spans="1:9" s="72" customFormat="1" ht="15.75" customHeight="1" hidden="1">
      <c r="A80" s="306"/>
      <c r="B80" s="344"/>
      <c r="C80" s="142"/>
      <c r="D80" s="142"/>
      <c r="E80" s="142"/>
      <c r="F80" s="142"/>
      <c r="G80" s="142"/>
      <c r="H80" s="142"/>
      <c r="I80" s="142"/>
    </row>
    <row r="81" spans="1:9" s="72" customFormat="1" ht="15.75" customHeight="1" hidden="1">
      <c r="A81" s="306"/>
      <c r="B81" s="344"/>
      <c r="C81" s="142"/>
      <c r="D81" s="142"/>
      <c r="E81" s="142"/>
      <c r="F81" s="142"/>
      <c r="G81" s="142"/>
      <c r="H81" s="142"/>
      <c r="I81" s="142"/>
    </row>
    <row r="82" spans="1:9" s="72" customFormat="1" ht="15.75" customHeight="1" hidden="1">
      <c r="A82" s="306"/>
      <c r="B82" s="344"/>
      <c r="C82" s="142"/>
      <c r="D82" s="142"/>
      <c r="E82" s="142"/>
      <c r="F82" s="142"/>
      <c r="G82" s="142"/>
      <c r="H82" s="142"/>
      <c r="I82" s="142"/>
    </row>
    <row r="83" spans="1:9" s="72" customFormat="1" ht="15.75" customHeight="1" hidden="1">
      <c r="A83" s="306"/>
      <c r="B83" s="344"/>
      <c r="C83" s="142"/>
      <c r="D83" s="142"/>
      <c r="E83" s="142"/>
      <c r="F83" s="142"/>
      <c r="G83" s="142"/>
      <c r="H83" s="142"/>
      <c r="I83" s="142"/>
    </row>
    <row r="84" spans="1:9" s="72" customFormat="1" ht="15.75" customHeight="1" hidden="1">
      <c r="A84" s="306"/>
      <c r="B84" s="344"/>
      <c r="C84" s="142"/>
      <c r="D84" s="142"/>
      <c r="E84" s="142"/>
      <c r="F84" s="142"/>
      <c r="G84" s="142"/>
      <c r="H84" s="142"/>
      <c r="I84" s="142"/>
    </row>
    <row r="85" spans="1:9" s="72" customFormat="1" ht="15.75" customHeight="1" hidden="1">
      <c r="A85" s="306"/>
      <c r="B85" s="344"/>
      <c r="C85" s="142"/>
      <c r="D85" s="142"/>
      <c r="E85" s="142"/>
      <c r="F85" s="142"/>
      <c r="G85" s="142"/>
      <c r="H85" s="142"/>
      <c r="I85" s="142"/>
    </row>
    <row r="86" spans="1:9" s="72" customFormat="1" ht="15.75" customHeight="1" hidden="1">
      <c r="A86" s="306"/>
      <c r="B86" s="344"/>
      <c r="C86" s="142"/>
      <c r="D86" s="142"/>
      <c r="E86" s="142"/>
      <c r="F86" s="142"/>
      <c r="G86" s="142"/>
      <c r="H86" s="142"/>
      <c r="I86" s="142"/>
    </row>
    <row r="87" spans="1:9" s="72" customFormat="1" ht="15.75" customHeight="1" hidden="1">
      <c r="A87" s="306"/>
      <c r="B87" s="344"/>
      <c r="C87" s="142"/>
      <c r="D87" s="142"/>
      <c r="E87" s="142"/>
      <c r="F87" s="142"/>
      <c r="G87" s="142"/>
      <c r="H87" s="142"/>
      <c r="I87" s="142"/>
    </row>
    <row r="88" spans="1:9" s="72" customFormat="1" ht="15.75" customHeight="1" hidden="1">
      <c r="A88" s="306"/>
      <c r="B88" s="344"/>
      <c r="C88" s="142"/>
      <c r="D88" s="142"/>
      <c r="E88" s="142"/>
      <c r="F88" s="142"/>
      <c r="G88" s="142"/>
      <c r="H88" s="142"/>
      <c r="I88" s="142"/>
    </row>
    <row r="89" spans="1:9" s="72" customFormat="1" ht="15.75" customHeight="1" hidden="1">
      <c r="A89" s="306"/>
      <c r="B89" s="344"/>
      <c r="C89" s="142"/>
      <c r="D89" s="142"/>
      <c r="E89" s="142"/>
      <c r="F89" s="142"/>
      <c r="G89" s="142"/>
      <c r="H89" s="142"/>
      <c r="I89" s="142"/>
    </row>
    <row r="90" spans="1:9" s="72" customFormat="1" ht="15.75" customHeight="1" hidden="1">
      <c r="A90" s="82" t="s">
        <v>178</v>
      </c>
      <c r="B90" s="74" t="s">
        <v>220</v>
      </c>
      <c r="C90" s="236"/>
      <c r="D90" s="236"/>
      <c r="E90" s="236"/>
      <c r="F90" s="236"/>
      <c r="G90" s="236"/>
      <c r="H90" s="236"/>
      <c r="I90" s="236"/>
    </row>
    <row r="91" spans="1:9" s="72" customFormat="1" ht="15.75" customHeight="1" hidden="1">
      <c r="A91" s="82" t="s">
        <v>179</v>
      </c>
      <c r="B91" s="74" t="s">
        <v>180</v>
      </c>
      <c r="C91" s="236"/>
      <c r="D91" s="236"/>
      <c r="E91" s="236"/>
      <c r="F91" s="236"/>
      <c r="G91" s="236"/>
      <c r="H91" s="236"/>
      <c r="I91" s="236"/>
    </row>
    <row r="92" spans="1:9" s="72" customFormat="1" ht="15.75" customHeight="1" hidden="1">
      <c r="A92" s="85" t="s">
        <v>66</v>
      </c>
      <c r="B92" s="73" t="s">
        <v>181</v>
      </c>
      <c r="C92" s="238"/>
      <c r="D92" s="238"/>
      <c r="E92" s="238"/>
      <c r="F92" s="238"/>
      <c r="G92" s="238"/>
      <c r="H92" s="238"/>
      <c r="I92" s="238"/>
    </row>
    <row r="93" spans="1:9" s="72" customFormat="1" ht="15.75" customHeight="1" hidden="1">
      <c r="A93" s="85" t="s">
        <v>29</v>
      </c>
      <c r="B93" s="73" t="s">
        <v>182</v>
      </c>
      <c r="C93" s="238"/>
      <c r="D93" s="238"/>
      <c r="E93" s="238"/>
      <c r="F93" s="238"/>
      <c r="G93" s="238"/>
      <c r="H93" s="238"/>
      <c r="I93" s="238"/>
    </row>
    <row r="94" spans="1:9" s="72" customFormat="1" ht="15.75" customHeight="1" hidden="1">
      <c r="A94" s="82" t="s">
        <v>183</v>
      </c>
      <c r="B94" s="74" t="s">
        <v>184</v>
      </c>
      <c r="C94" s="238"/>
      <c r="D94" s="238"/>
      <c r="E94" s="238"/>
      <c r="F94" s="238"/>
      <c r="G94" s="238"/>
      <c r="H94" s="238"/>
      <c r="I94" s="238"/>
    </row>
    <row r="95" spans="1:9" s="72" customFormat="1" ht="15.75" customHeight="1" hidden="1">
      <c r="A95" s="82" t="s">
        <v>185</v>
      </c>
      <c r="B95" s="74" t="s">
        <v>186</v>
      </c>
      <c r="C95" s="236"/>
      <c r="D95" s="236"/>
      <c r="E95" s="236"/>
      <c r="F95" s="236"/>
      <c r="G95" s="236"/>
      <c r="H95" s="236"/>
      <c r="I95" s="236"/>
    </row>
    <row r="96" spans="1:9" s="72" customFormat="1" ht="15.75" customHeight="1" hidden="1">
      <c r="A96" s="82"/>
      <c r="B96" s="73" t="s">
        <v>173</v>
      </c>
      <c r="C96" s="236"/>
      <c r="D96" s="236"/>
      <c r="E96" s="236"/>
      <c r="F96" s="236"/>
      <c r="G96" s="236"/>
      <c r="H96" s="236"/>
      <c r="I96" s="236"/>
    </row>
    <row r="97" spans="1:9" s="144" customFormat="1" ht="31.5">
      <c r="A97" s="307" t="s">
        <v>160</v>
      </c>
      <c r="B97" s="74" t="s">
        <v>248</v>
      </c>
      <c r="C97" s="236">
        <f>C99</f>
        <v>64262</v>
      </c>
      <c r="D97" s="236">
        <f>D99</f>
        <v>83603</v>
      </c>
      <c r="E97" s="236">
        <f>E104+E105</f>
        <v>198439</v>
      </c>
      <c r="F97" s="236">
        <v>162761</v>
      </c>
      <c r="G97" s="236">
        <f>G26+G50</f>
        <v>261965.08000000002</v>
      </c>
      <c r="H97" s="236">
        <f>H26+H50</f>
        <v>222383</v>
      </c>
      <c r="I97" s="236">
        <f>I26+I50</f>
        <v>208840.9</v>
      </c>
    </row>
    <row r="98" spans="1:10" s="72" customFormat="1" ht="47.25" hidden="1">
      <c r="A98" s="82" t="s">
        <v>185</v>
      </c>
      <c r="B98" s="74" t="s">
        <v>187</v>
      </c>
      <c r="C98" s="141">
        <f>C97+C153</f>
        <v>64262</v>
      </c>
      <c r="D98" s="141">
        <f>D97+D153</f>
        <v>83603</v>
      </c>
      <c r="E98" s="141">
        <f>E20+E52</f>
        <v>113570.8</v>
      </c>
      <c r="F98" s="141">
        <f>F20+F52</f>
        <v>162761</v>
      </c>
      <c r="G98" s="141">
        <f>G20+G52</f>
        <v>261965.08000000002</v>
      </c>
      <c r="H98" s="141">
        <f>H20+H52</f>
        <v>222383</v>
      </c>
      <c r="I98" s="141">
        <f>I20+I52</f>
        <v>208841.6</v>
      </c>
      <c r="J98" s="142">
        <f>E20+E52</f>
        <v>113570.8</v>
      </c>
    </row>
    <row r="99" spans="1:9" s="72" customFormat="1" ht="47.25" hidden="1">
      <c r="A99" s="306"/>
      <c r="B99" s="74" t="s">
        <v>189</v>
      </c>
      <c r="C99" s="238">
        <v>64262</v>
      </c>
      <c r="D99" s="238">
        <v>83603</v>
      </c>
      <c r="E99" s="238">
        <f>E26-E33+E56+E62+E64+E98</f>
        <v>222524.6</v>
      </c>
      <c r="F99" s="238">
        <f>F108*F109</f>
        <v>162.76100000000002</v>
      </c>
      <c r="G99" s="238">
        <f>G108*G109</f>
        <v>261.96508</v>
      </c>
      <c r="H99" s="238">
        <f>H108*H109</f>
        <v>222383</v>
      </c>
      <c r="I99" s="238">
        <f>I108*I109</f>
        <v>208840.9</v>
      </c>
    </row>
    <row r="100" spans="1:9" s="72" customFormat="1" ht="47.25" customHeight="1" hidden="1">
      <c r="A100" s="82" t="s">
        <v>188</v>
      </c>
      <c r="B100" s="74" t="s">
        <v>189</v>
      </c>
      <c r="C100" s="141">
        <f>C99+C156</f>
        <v>64262</v>
      </c>
      <c r="D100" s="141">
        <f aca="true" t="shared" si="5" ref="D100:I100">D99+D156</f>
        <v>83603</v>
      </c>
      <c r="E100" s="141">
        <f t="shared" si="5"/>
        <v>222524.6</v>
      </c>
      <c r="F100" s="141">
        <f t="shared" si="5"/>
        <v>162.76100000000002</v>
      </c>
      <c r="G100" s="141">
        <f t="shared" si="5"/>
        <v>261.96508</v>
      </c>
      <c r="H100" s="141">
        <f t="shared" si="5"/>
        <v>222383</v>
      </c>
      <c r="I100" s="141">
        <f t="shared" si="5"/>
        <v>208840.9</v>
      </c>
    </row>
    <row r="101" spans="1:10" s="72" customFormat="1" ht="31.5" customHeight="1" hidden="1">
      <c r="A101" s="82"/>
      <c r="B101" s="74" t="s">
        <v>190</v>
      </c>
      <c r="C101" s="141"/>
      <c r="D101" s="141"/>
      <c r="E101" s="141"/>
      <c r="F101" s="141"/>
      <c r="G101" s="141"/>
      <c r="H101" s="141"/>
      <c r="I101" s="141"/>
      <c r="J101" s="142">
        <f>SUM(C101:I101)</f>
        <v>0</v>
      </c>
    </row>
    <row r="102" spans="1:9" s="72" customFormat="1" ht="15.75" customHeight="1" hidden="1">
      <c r="A102" s="85"/>
      <c r="B102" s="73"/>
      <c r="C102" s="238"/>
      <c r="D102" s="238"/>
      <c r="E102" s="238"/>
      <c r="F102" s="238"/>
      <c r="G102" s="238"/>
      <c r="H102" s="238"/>
      <c r="I102" s="238"/>
    </row>
    <row r="103" spans="1:9" s="72" customFormat="1" ht="15.75">
      <c r="A103" s="85"/>
      <c r="B103" s="74" t="s">
        <v>33</v>
      </c>
      <c r="C103" s="238"/>
      <c r="D103" s="238"/>
      <c r="E103" s="238"/>
      <c r="F103" s="238"/>
      <c r="G103" s="238"/>
      <c r="H103" s="238"/>
      <c r="I103" s="238"/>
    </row>
    <row r="104" spans="1:9" s="72" customFormat="1" ht="15.75" hidden="1">
      <c r="A104" s="389" t="s">
        <v>377</v>
      </c>
      <c r="B104" s="167" t="s">
        <v>281</v>
      </c>
      <c r="C104" s="238"/>
      <c r="D104" s="238"/>
      <c r="E104" s="238">
        <f>E23</f>
        <v>111607</v>
      </c>
      <c r="F104" s="238"/>
      <c r="G104" s="238"/>
      <c r="H104" s="238"/>
      <c r="I104" s="238"/>
    </row>
    <row r="105" spans="1:9" s="72" customFormat="1" ht="15.75" hidden="1">
      <c r="A105" s="389" t="s">
        <v>378</v>
      </c>
      <c r="B105" s="167" t="s">
        <v>282</v>
      </c>
      <c r="C105" s="238"/>
      <c r="D105" s="238"/>
      <c r="E105" s="238">
        <f>E24</f>
        <v>86832</v>
      </c>
      <c r="F105" s="238"/>
      <c r="G105" s="238"/>
      <c r="H105" s="238"/>
      <c r="I105" s="238"/>
    </row>
    <row r="106" spans="1:9" s="72" customFormat="1" ht="15.75">
      <c r="A106" s="85" t="s">
        <v>66</v>
      </c>
      <c r="B106" s="73" t="s">
        <v>103</v>
      </c>
      <c r="C106" s="242"/>
      <c r="D106" s="242"/>
      <c r="E106" s="242"/>
      <c r="F106" s="242"/>
      <c r="G106" s="242"/>
      <c r="H106" s="242"/>
      <c r="I106" s="242"/>
    </row>
    <row r="107" spans="1:9" s="72" customFormat="1" ht="15.75">
      <c r="A107" s="85" t="s">
        <v>29</v>
      </c>
      <c r="B107" s="73" t="s">
        <v>191</v>
      </c>
      <c r="C107" s="242"/>
      <c r="D107" s="242"/>
      <c r="E107" s="242"/>
      <c r="F107" s="242"/>
      <c r="G107" s="242"/>
      <c r="H107" s="242"/>
      <c r="I107" s="242"/>
    </row>
    <row r="108" spans="1:9" s="72" customFormat="1" ht="31.5">
      <c r="A108" s="85" t="s">
        <v>66</v>
      </c>
      <c r="B108" s="73" t="s">
        <v>455</v>
      </c>
      <c r="C108" s="242">
        <v>12601</v>
      </c>
      <c r="D108" s="242">
        <v>12541</v>
      </c>
      <c r="E108" s="242">
        <v>15312</v>
      </c>
      <c r="F108" s="244">
        <v>17.203</v>
      </c>
      <c r="G108" s="244">
        <v>12.44</v>
      </c>
      <c r="H108" s="242">
        <v>15425</v>
      </c>
      <c r="I108" s="242">
        <v>16775</v>
      </c>
    </row>
    <row r="109" spans="1:9" s="72" customFormat="1" ht="31.5" customHeight="1">
      <c r="A109" s="85" t="s">
        <v>29</v>
      </c>
      <c r="B109" s="73" t="s">
        <v>256</v>
      </c>
      <c r="C109" s="244">
        <f>C99/C108</f>
        <v>5.099753987778747</v>
      </c>
      <c r="D109" s="244">
        <f>D99/D108</f>
        <v>6.666374292321186</v>
      </c>
      <c r="E109" s="244">
        <f>E97/E108</f>
        <v>12.959704806687565</v>
      </c>
      <c r="F109" s="390">
        <f>F97/F108/1000</f>
        <v>9.461198628146255</v>
      </c>
      <c r="G109" s="390">
        <f>G97/G108/1000</f>
        <v>21.05828617363344</v>
      </c>
      <c r="H109" s="244">
        <f>H97/H108</f>
        <v>14.41705024311183</v>
      </c>
      <c r="I109" s="244">
        <f>I97/I108</f>
        <v>12.449532041728762</v>
      </c>
    </row>
    <row r="110" spans="1:9" s="72" customFormat="1" ht="60" customHeight="1" hidden="1">
      <c r="A110" s="82"/>
      <c r="B110" s="74"/>
      <c r="C110" s="390"/>
      <c r="D110" s="390"/>
      <c r="E110" s="390"/>
      <c r="F110" s="390"/>
      <c r="G110" s="390"/>
      <c r="H110" s="390"/>
      <c r="I110" s="390"/>
    </row>
    <row r="111" spans="1:9" s="72" customFormat="1" ht="15.75" customHeight="1" hidden="1">
      <c r="A111" s="85"/>
      <c r="B111" s="73"/>
      <c r="C111" s="391"/>
      <c r="D111" s="391"/>
      <c r="E111" s="391"/>
      <c r="F111" s="391"/>
      <c r="G111" s="391"/>
      <c r="H111" s="391"/>
      <c r="I111" s="391"/>
    </row>
    <row r="112" spans="1:9" s="72" customFormat="1" ht="15.75" customHeight="1" hidden="1">
      <c r="A112" s="85"/>
      <c r="B112" s="73"/>
      <c r="C112" s="391"/>
      <c r="D112" s="391"/>
      <c r="E112" s="391"/>
      <c r="F112" s="391"/>
      <c r="G112" s="391"/>
      <c r="H112" s="391"/>
      <c r="I112" s="391"/>
    </row>
    <row r="113" spans="1:9" s="72" customFormat="1" ht="15.75" customHeight="1" hidden="1">
      <c r="A113" s="85"/>
      <c r="B113" s="73"/>
      <c r="C113" s="391"/>
      <c r="D113" s="391"/>
      <c r="E113" s="391"/>
      <c r="F113" s="391"/>
      <c r="G113" s="391"/>
      <c r="H113" s="391"/>
      <c r="I113" s="391"/>
    </row>
    <row r="114" spans="1:9" s="72" customFormat="1" ht="15.75" customHeight="1" hidden="1">
      <c r="A114" s="85"/>
      <c r="B114" s="73"/>
      <c r="C114" s="391"/>
      <c r="D114" s="391"/>
      <c r="E114" s="391"/>
      <c r="F114" s="391"/>
      <c r="G114" s="391"/>
      <c r="H114" s="391"/>
      <c r="I114" s="391"/>
    </row>
    <row r="115" spans="1:9" s="72" customFormat="1" ht="15.75" customHeight="1" hidden="1">
      <c r="A115" s="85"/>
      <c r="B115" s="73"/>
      <c r="C115" s="391"/>
      <c r="D115" s="391"/>
      <c r="E115" s="391"/>
      <c r="F115" s="391"/>
      <c r="G115" s="391"/>
      <c r="H115" s="391"/>
      <c r="I115" s="391"/>
    </row>
    <row r="116" spans="1:9" s="72" customFormat="1" ht="15.75" customHeight="1" hidden="1">
      <c r="A116" s="85"/>
      <c r="B116" s="73"/>
      <c r="C116" s="391"/>
      <c r="D116" s="391"/>
      <c r="E116" s="391"/>
      <c r="F116" s="391"/>
      <c r="G116" s="391"/>
      <c r="H116" s="391"/>
      <c r="I116" s="391"/>
    </row>
    <row r="117" spans="1:11" s="32" customFormat="1" ht="15.75" customHeight="1" hidden="1">
      <c r="A117" s="99"/>
      <c r="B117" s="100"/>
      <c r="C117" s="234"/>
      <c r="D117" s="234"/>
      <c r="E117" s="234"/>
      <c r="F117" s="234"/>
      <c r="G117" s="234"/>
      <c r="H117" s="234"/>
      <c r="I117" s="234"/>
      <c r="J117" s="137">
        <f>SUM(C117:I117)</f>
        <v>0</v>
      </c>
      <c r="K117" s="143">
        <f>J156</f>
        <v>0</v>
      </c>
    </row>
    <row r="118" spans="1:11" s="32" customFormat="1" ht="15.75" customHeight="1" hidden="1">
      <c r="A118" s="99"/>
      <c r="B118" s="74" t="s">
        <v>33</v>
      </c>
      <c r="C118" s="234"/>
      <c r="D118" s="234"/>
      <c r="E118" s="234"/>
      <c r="F118" s="234"/>
      <c r="G118" s="234"/>
      <c r="H118" s="234"/>
      <c r="I118" s="234"/>
      <c r="J118" s="138">
        <f>'[1]приложение 1'!G14</f>
        <v>111442</v>
      </c>
      <c r="K118" s="143">
        <f>J118+K117</f>
        <v>111442</v>
      </c>
    </row>
    <row r="119" spans="1:10" ht="15.75" customHeight="1" hidden="1">
      <c r="A119" s="39"/>
      <c r="B119" s="100" t="s">
        <v>228</v>
      </c>
      <c r="C119" s="392"/>
      <c r="D119" s="392"/>
      <c r="E119" s="392"/>
      <c r="F119" s="392"/>
      <c r="G119" s="235"/>
      <c r="H119" s="235"/>
      <c r="I119" s="235"/>
      <c r="J119" s="139">
        <f>J117-J118</f>
        <v>-111442</v>
      </c>
    </row>
    <row r="120" spans="1:9" ht="15.75" customHeight="1" hidden="1">
      <c r="A120" s="39"/>
      <c r="B120" s="89" t="s">
        <v>249</v>
      </c>
      <c r="C120" s="392">
        <v>2128</v>
      </c>
      <c r="D120" s="392">
        <v>2128</v>
      </c>
      <c r="E120" s="392">
        <v>2128</v>
      </c>
      <c r="F120" s="392">
        <v>2128</v>
      </c>
      <c r="G120" s="392">
        <v>2128</v>
      </c>
      <c r="H120" s="392">
        <v>2128</v>
      </c>
      <c r="I120" s="392">
        <v>2128</v>
      </c>
    </row>
    <row r="121" spans="1:9" ht="15.75" customHeight="1" hidden="1">
      <c r="A121" s="39"/>
      <c r="B121" s="89" t="s">
        <v>250</v>
      </c>
      <c r="C121" s="392">
        <f>C120*0.0375</f>
        <v>79.8</v>
      </c>
      <c r="D121" s="392">
        <f aca="true" t="shared" si="6" ref="D121:I121">D120*0.0375</f>
        <v>79.8</v>
      </c>
      <c r="E121" s="392">
        <f t="shared" si="6"/>
        <v>79.8</v>
      </c>
      <c r="F121" s="392">
        <f t="shared" si="6"/>
        <v>79.8</v>
      </c>
      <c r="G121" s="392">
        <f t="shared" si="6"/>
        <v>79.8</v>
      </c>
      <c r="H121" s="392">
        <f t="shared" si="6"/>
        <v>79.8</v>
      </c>
      <c r="I121" s="392">
        <f t="shared" si="6"/>
        <v>79.8</v>
      </c>
    </row>
    <row r="122" spans="1:9" ht="15.75" customHeight="1" hidden="1">
      <c r="A122" s="39"/>
      <c r="B122" s="89" t="s">
        <v>251</v>
      </c>
      <c r="C122" s="392">
        <f>C120-C121</f>
        <v>2048.2</v>
      </c>
      <c r="D122" s="392">
        <f aca="true" t="shared" si="7" ref="D122:I122">D120-D121</f>
        <v>2048.2</v>
      </c>
      <c r="E122" s="392">
        <f t="shared" si="7"/>
        <v>2048.2</v>
      </c>
      <c r="F122" s="392">
        <f t="shared" si="7"/>
        <v>2048.2</v>
      </c>
      <c r="G122" s="392">
        <f t="shared" si="7"/>
        <v>2048.2</v>
      </c>
      <c r="H122" s="392">
        <f t="shared" si="7"/>
        <v>2048.2</v>
      </c>
      <c r="I122" s="392">
        <f t="shared" si="7"/>
        <v>2048.2</v>
      </c>
    </row>
    <row r="123" spans="1:9" ht="15.75" customHeight="1" hidden="1">
      <c r="A123" s="39"/>
      <c r="B123" s="89" t="s">
        <v>252</v>
      </c>
      <c r="C123" s="392" t="str">
        <f aca="true" t="shared" si="8" ref="C123:I123">B123</f>
        <v>УРУТ, г/кВтч</v>
      </c>
      <c r="D123" s="392" t="str">
        <f t="shared" si="8"/>
        <v>УРУТ, г/кВтч</v>
      </c>
      <c r="E123" s="392" t="str">
        <f t="shared" si="8"/>
        <v>УРУТ, г/кВтч</v>
      </c>
      <c r="F123" s="392" t="str">
        <f t="shared" si="8"/>
        <v>УРУТ, г/кВтч</v>
      </c>
      <c r="G123" s="392" t="str">
        <f t="shared" si="8"/>
        <v>УРУТ, г/кВтч</v>
      </c>
      <c r="H123" s="392" t="str">
        <f t="shared" si="8"/>
        <v>УРУТ, г/кВтч</v>
      </c>
      <c r="I123" s="392" t="str">
        <f t="shared" si="8"/>
        <v>УРУТ, г/кВтч</v>
      </c>
    </row>
    <row r="124" spans="1:9" ht="15.75" customHeight="1" hidden="1">
      <c r="A124" s="39"/>
      <c r="B124" s="89" t="s">
        <v>225</v>
      </c>
      <c r="C124" s="392" t="e">
        <f>C123*C122/1000</f>
        <v>#VALUE!</v>
      </c>
      <c r="D124" s="392" t="e">
        <f aca="true" t="shared" si="9" ref="D124:I124">D123*D122/1000</f>
        <v>#VALUE!</v>
      </c>
      <c r="E124" s="392" t="e">
        <f t="shared" si="9"/>
        <v>#VALUE!</v>
      </c>
      <c r="F124" s="392" t="e">
        <f t="shared" si="9"/>
        <v>#VALUE!</v>
      </c>
      <c r="G124" s="392" t="e">
        <f t="shared" si="9"/>
        <v>#VALUE!</v>
      </c>
      <c r="H124" s="392" t="e">
        <f t="shared" si="9"/>
        <v>#VALUE!</v>
      </c>
      <c r="I124" s="392" t="e">
        <f t="shared" si="9"/>
        <v>#VALUE!</v>
      </c>
    </row>
    <row r="125" spans="1:9" ht="15.75" customHeight="1" hidden="1">
      <c r="A125" s="39"/>
      <c r="B125" s="89" t="s">
        <v>226</v>
      </c>
      <c r="C125" s="392" t="e">
        <f>C124/1.45</f>
        <v>#VALUE!</v>
      </c>
      <c r="D125" s="392" t="e">
        <f aca="true" t="shared" si="10" ref="D125:I125">D124/1.45</f>
        <v>#VALUE!</v>
      </c>
      <c r="E125" s="392" t="e">
        <f t="shared" si="10"/>
        <v>#VALUE!</v>
      </c>
      <c r="F125" s="392" t="e">
        <f t="shared" si="10"/>
        <v>#VALUE!</v>
      </c>
      <c r="G125" s="392" t="e">
        <f t="shared" si="10"/>
        <v>#VALUE!</v>
      </c>
      <c r="H125" s="392" t="e">
        <f t="shared" si="10"/>
        <v>#VALUE!</v>
      </c>
      <c r="I125" s="392" t="e">
        <f t="shared" si="10"/>
        <v>#VALUE!</v>
      </c>
    </row>
    <row r="126" spans="1:13" ht="15.75" customHeight="1" hidden="1">
      <c r="A126" s="39"/>
      <c r="B126" s="89" t="s">
        <v>253</v>
      </c>
      <c r="C126" s="392">
        <v>28775</v>
      </c>
      <c r="D126" s="392">
        <v>28775</v>
      </c>
      <c r="E126" s="392">
        <f>D126*1.093</f>
        <v>31451.075</v>
      </c>
      <c r="F126" s="392">
        <f>E126*1.11</f>
        <v>34910.693250000004</v>
      </c>
      <c r="G126" s="392">
        <f>F126*1.096</f>
        <v>38262.11980200001</v>
      </c>
      <c r="H126" s="392">
        <f>G126*1.096</f>
        <v>41935.283302992015</v>
      </c>
      <c r="I126" s="392">
        <f>H126*1.096</f>
        <v>45961.07050007925</v>
      </c>
      <c r="M126">
        <f>225*1.45</f>
        <v>326.25</v>
      </c>
    </row>
    <row r="127" spans="1:15" ht="15.75" customHeight="1" hidden="1">
      <c r="A127" s="39"/>
      <c r="B127" s="89" t="s">
        <v>254</v>
      </c>
      <c r="C127" s="392" t="e">
        <f>C126*C125/1000</f>
        <v>#VALUE!</v>
      </c>
      <c r="D127" s="392" t="e">
        <f aca="true" t="shared" si="11" ref="D127:I127">D126*D125/1000</f>
        <v>#VALUE!</v>
      </c>
      <c r="E127" s="392" t="e">
        <f t="shared" si="11"/>
        <v>#VALUE!</v>
      </c>
      <c r="F127" s="392" t="e">
        <f t="shared" si="11"/>
        <v>#VALUE!</v>
      </c>
      <c r="G127" s="392" t="e">
        <f t="shared" si="11"/>
        <v>#VALUE!</v>
      </c>
      <c r="H127" s="392" t="e">
        <f t="shared" si="11"/>
        <v>#VALUE!</v>
      </c>
      <c r="I127" s="392" t="e">
        <f t="shared" si="11"/>
        <v>#VALUE!</v>
      </c>
      <c r="O127" t="s">
        <v>264</v>
      </c>
    </row>
    <row r="128" spans="1:43" ht="15.75" customHeight="1" hidden="1">
      <c r="A128" s="39"/>
      <c r="B128" s="89" t="s">
        <v>229</v>
      </c>
      <c r="C128" s="392">
        <v>12440</v>
      </c>
      <c r="D128" s="392">
        <v>12440</v>
      </c>
      <c r="E128" s="392">
        <f>D128</f>
        <v>12440</v>
      </c>
      <c r="F128" s="392">
        <f>E128</f>
        <v>12440</v>
      </c>
      <c r="G128" s="392">
        <f>F128</f>
        <v>12440</v>
      </c>
      <c r="H128" s="392">
        <f>G128</f>
        <v>12440</v>
      </c>
      <c r="I128" s="392">
        <f>H128</f>
        <v>12440</v>
      </c>
      <c r="O128">
        <v>2012</v>
      </c>
      <c r="S128">
        <v>2013</v>
      </c>
      <c r="W128">
        <v>2014</v>
      </c>
      <c r="AA128">
        <v>2015</v>
      </c>
      <c r="AE128">
        <v>2016</v>
      </c>
      <c r="AI128">
        <v>2017</v>
      </c>
      <c r="AM128">
        <v>2018</v>
      </c>
      <c r="AQ128">
        <v>2019</v>
      </c>
    </row>
    <row r="129" spans="1:45" ht="15.75" customHeight="1" hidden="1">
      <c r="A129" s="39"/>
      <c r="B129" s="89" t="s">
        <v>227</v>
      </c>
      <c r="C129" s="392">
        <v>0.01</v>
      </c>
      <c r="D129" s="392">
        <v>0.01</v>
      </c>
      <c r="E129" s="392">
        <f>D129*1.093</f>
        <v>0.01093</v>
      </c>
      <c r="F129" s="392">
        <f>E129*1.11</f>
        <v>0.012132300000000002</v>
      </c>
      <c r="G129" s="392">
        <f>F129*1.096</f>
        <v>0.013297000800000004</v>
      </c>
      <c r="H129" s="392">
        <f>G129*1.096</f>
        <v>0.014573512876800004</v>
      </c>
      <c r="I129" s="392">
        <f>H129*1.096</f>
        <v>0.015972570112972807</v>
      </c>
      <c r="J129" t="s">
        <v>265</v>
      </c>
      <c r="K129">
        <v>550</v>
      </c>
      <c r="L129">
        <v>369.34</v>
      </c>
      <c r="M129">
        <f>L129*K129/1000</f>
        <v>203.137</v>
      </c>
      <c r="O129">
        <f>K129/K133*O133</f>
        <v>550</v>
      </c>
      <c r="P129">
        <f>L129</f>
        <v>369.34</v>
      </c>
      <c r="Q129">
        <f>P129*O129/1000</f>
        <v>203.137</v>
      </c>
      <c r="S129">
        <f>O129/O133*S133</f>
        <v>550</v>
      </c>
      <c r="T129">
        <f>M126</f>
        <v>326.25</v>
      </c>
      <c r="U129">
        <f>T129*S129/1000</f>
        <v>179.4375</v>
      </c>
      <c r="W129" t="e">
        <f>S129/S133*W133</f>
        <v>#REF!</v>
      </c>
      <c r="X129">
        <f>M126</f>
        <v>326.25</v>
      </c>
      <c r="Y129" t="e">
        <f>X129*W129/1000</f>
        <v>#REF!</v>
      </c>
      <c r="AA129" t="e">
        <f aca="true" t="shared" si="12" ref="AA129:AB131">W129</f>
        <v>#REF!</v>
      </c>
      <c r="AB129">
        <f t="shared" si="12"/>
        <v>326.25</v>
      </c>
      <c r="AC129" t="e">
        <f>AB129*AA129/1000</f>
        <v>#REF!</v>
      </c>
      <c r="AE129" t="e">
        <f aca="true" t="shared" si="13" ref="AE129:AF131">AA129</f>
        <v>#REF!</v>
      </c>
      <c r="AF129">
        <f t="shared" si="13"/>
        <v>326.25</v>
      </c>
      <c r="AG129" t="e">
        <f>AF129*AE129/1000</f>
        <v>#REF!</v>
      </c>
      <c r="AI129" t="e">
        <f aca="true" t="shared" si="14" ref="AI129:AJ131">AE129</f>
        <v>#REF!</v>
      </c>
      <c r="AJ129">
        <f t="shared" si="14"/>
        <v>326.25</v>
      </c>
      <c r="AK129" t="e">
        <f>AJ129*AI129/1000</f>
        <v>#REF!</v>
      </c>
      <c r="AM129" t="e">
        <f aca="true" t="shared" si="15" ref="AM129:AN131">AI129</f>
        <v>#REF!</v>
      </c>
      <c r="AN129">
        <f t="shared" si="15"/>
        <v>326.25</v>
      </c>
      <c r="AO129" t="e">
        <f>AN129*AM129/1000</f>
        <v>#REF!</v>
      </c>
      <c r="AQ129" t="e">
        <f aca="true" t="shared" si="16" ref="AQ129:AR131">AM129</f>
        <v>#REF!</v>
      </c>
      <c r="AR129">
        <f t="shared" si="16"/>
        <v>326.25</v>
      </c>
      <c r="AS129" t="e">
        <f>AR129*AQ129/1000</f>
        <v>#REF!</v>
      </c>
    </row>
    <row r="130" spans="1:45" ht="15.75" customHeight="1" hidden="1">
      <c r="A130" s="39"/>
      <c r="B130" s="89" t="s">
        <v>255</v>
      </c>
      <c r="C130" s="392">
        <f>C129*C128</f>
        <v>124.4</v>
      </c>
      <c r="D130" s="392">
        <f aca="true" t="shared" si="17" ref="D130:I130">D129*D128</f>
        <v>124.4</v>
      </c>
      <c r="E130" s="392">
        <f t="shared" si="17"/>
        <v>135.9692</v>
      </c>
      <c r="F130" s="392">
        <f t="shared" si="17"/>
        <v>150.92581200000004</v>
      </c>
      <c r="G130" s="392">
        <f t="shared" si="17"/>
        <v>165.41468995200003</v>
      </c>
      <c r="H130" s="392">
        <f t="shared" si="17"/>
        <v>181.29450018739206</v>
      </c>
      <c r="I130" s="392">
        <f t="shared" si="17"/>
        <v>198.69877220538172</v>
      </c>
      <c r="J130" t="s">
        <v>266</v>
      </c>
      <c r="K130" s="102">
        <v>600</v>
      </c>
      <c r="L130">
        <v>364.13</v>
      </c>
      <c r="M130">
        <f>L130*K130/1000</f>
        <v>218.478</v>
      </c>
      <c r="O130" s="102">
        <f>K130/K133*O133</f>
        <v>600</v>
      </c>
      <c r="P130">
        <v>364.13</v>
      </c>
      <c r="Q130">
        <f>P130*O130/1000</f>
        <v>218.478</v>
      </c>
      <c r="S130" s="102">
        <f>O130/O133*S133</f>
        <v>600</v>
      </c>
      <c r="T130">
        <f>M126</f>
        <v>326.25</v>
      </c>
      <c r="U130">
        <f>T130*S130/1000</f>
        <v>195.75</v>
      </c>
      <c r="W130" s="102" t="e">
        <f>S130/S133*W133</f>
        <v>#REF!</v>
      </c>
      <c r="X130">
        <f>M126</f>
        <v>326.25</v>
      </c>
      <c r="Y130" t="e">
        <f>X130*W130/1000</f>
        <v>#REF!</v>
      </c>
      <c r="AA130" t="e">
        <f t="shared" si="12"/>
        <v>#REF!</v>
      </c>
      <c r="AB130">
        <f t="shared" si="12"/>
        <v>326.25</v>
      </c>
      <c r="AC130" t="e">
        <f>AB130*AA130/1000</f>
        <v>#REF!</v>
      </c>
      <c r="AE130" t="e">
        <f t="shared" si="13"/>
        <v>#REF!</v>
      </c>
      <c r="AF130">
        <f t="shared" si="13"/>
        <v>326.25</v>
      </c>
      <c r="AG130" t="e">
        <f>AF130*AE130/1000</f>
        <v>#REF!</v>
      </c>
      <c r="AI130" t="e">
        <f t="shared" si="14"/>
        <v>#REF!</v>
      </c>
      <c r="AJ130">
        <f t="shared" si="14"/>
        <v>326.25</v>
      </c>
      <c r="AK130" t="e">
        <f>AJ130*AI130/1000</f>
        <v>#REF!</v>
      </c>
      <c r="AM130" t="e">
        <f t="shared" si="15"/>
        <v>#REF!</v>
      </c>
      <c r="AN130">
        <f t="shared" si="15"/>
        <v>326.25</v>
      </c>
      <c r="AO130" t="e">
        <f>AN130*AM130/1000</f>
        <v>#REF!</v>
      </c>
      <c r="AQ130" t="e">
        <f t="shared" si="16"/>
        <v>#REF!</v>
      </c>
      <c r="AR130">
        <f t="shared" si="16"/>
        <v>326.25</v>
      </c>
      <c r="AS130" t="e">
        <f>AR130*AQ130/1000</f>
        <v>#REF!</v>
      </c>
    </row>
    <row r="131" spans="1:45" ht="15.75" customHeight="1" hidden="1">
      <c r="A131" s="39"/>
      <c r="B131" s="100"/>
      <c r="C131" s="392"/>
      <c r="D131" s="392"/>
      <c r="E131" s="392"/>
      <c r="F131" s="392"/>
      <c r="G131" s="392"/>
      <c r="H131" s="392"/>
      <c r="I131" s="392"/>
      <c r="J131" t="s">
        <v>267</v>
      </c>
      <c r="K131" s="102">
        <v>200</v>
      </c>
      <c r="L131">
        <v>474.38</v>
      </c>
      <c r="M131">
        <f>L131*K131/1000</f>
        <v>94.876</v>
      </c>
      <c r="O131" s="102">
        <f>K131/K133*O133</f>
        <v>200</v>
      </c>
      <c r="P131">
        <v>474.38</v>
      </c>
      <c r="Q131">
        <f>P131*O131/1000</f>
        <v>94.876</v>
      </c>
      <c r="S131" s="102">
        <f>O131/O133*S133</f>
        <v>200</v>
      </c>
      <c r="T131">
        <v>474.38</v>
      </c>
      <c r="U131">
        <f>T131*S131/1000</f>
        <v>94.876</v>
      </c>
      <c r="W131" s="102" t="e">
        <f>S131/S133*W133</f>
        <v>#REF!</v>
      </c>
      <c r="X131">
        <f>M126</f>
        <v>326.25</v>
      </c>
      <c r="Y131" t="e">
        <f>X131*W131/1000</f>
        <v>#REF!</v>
      </c>
      <c r="AA131" t="e">
        <f t="shared" si="12"/>
        <v>#REF!</v>
      </c>
      <c r="AB131">
        <f t="shared" si="12"/>
        <v>326.25</v>
      </c>
      <c r="AC131" t="e">
        <f>AB131*AA131/1000</f>
        <v>#REF!</v>
      </c>
      <c r="AE131" t="e">
        <f t="shared" si="13"/>
        <v>#REF!</v>
      </c>
      <c r="AF131">
        <f t="shared" si="13"/>
        <v>326.25</v>
      </c>
      <c r="AG131" t="e">
        <f>AF131*AE131/1000</f>
        <v>#REF!</v>
      </c>
      <c r="AI131" t="e">
        <f t="shared" si="14"/>
        <v>#REF!</v>
      </c>
      <c r="AJ131">
        <f t="shared" si="14"/>
        <v>326.25</v>
      </c>
      <c r="AK131" t="e">
        <f>AJ131*AI131/1000</f>
        <v>#REF!</v>
      </c>
      <c r="AM131" t="e">
        <f t="shared" si="15"/>
        <v>#REF!</v>
      </c>
      <c r="AN131">
        <f t="shared" si="15"/>
        <v>326.25</v>
      </c>
      <c r="AO131" t="e">
        <f>AN131*AM131/1000</f>
        <v>#REF!</v>
      </c>
      <c r="AQ131" t="e">
        <f t="shared" si="16"/>
        <v>#REF!</v>
      </c>
      <c r="AR131">
        <f t="shared" si="16"/>
        <v>326.25</v>
      </c>
      <c r="AS131" t="e">
        <f>AR131*AQ131/1000</f>
        <v>#REF!</v>
      </c>
    </row>
    <row r="132" spans="1:45" ht="15.75" customHeight="1" hidden="1">
      <c r="A132" s="39"/>
      <c r="B132" s="89"/>
      <c r="C132" s="392"/>
      <c r="D132" s="392"/>
      <c r="E132" s="392"/>
      <c r="F132" s="392"/>
      <c r="G132" s="392"/>
      <c r="H132" s="392"/>
      <c r="I132" s="392"/>
      <c r="J132" t="s">
        <v>268</v>
      </c>
      <c r="K132" s="102">
        <f>C122-K131-K130-K129</f>
        <v>698.1999999999998</v>
      </c>
      <c r="L132">
        <v>474.38</v>
      </c>
      <c r="M132">
        <f>L132*K132/1000</f>
        <v>331.2121159999999</v>
      </c>
      <c r="O132" s="102">
        <f>G122-O131-O130-O129</f>
        <v>698.1999999999998</v>
      </c>
      <c r="P132">
        <v>474.38</v>
      </c>
      <c r="Q132">
        <f>P132*O132/1000</f>
        <v>331.2121159999999</v>
      </c>
      <c r="S132" s="102" t="e">
        <f>#REF!-S131-S130-S129</f>
        <v>#REF!</v>
      </c>
      <c r="T132">
        <v>474.38</v>
      </c>
      <c r="U132" t="e">
        <f>T132*S132/1000</f>
        <v>#REF!</v>
      </c>
      <c r="W132" s="102" t="e">
        <f>S132</f>
        <v>#REF!</v>
      </c>
      <c r="X132">
        <v>474.38</v>
      </c>
      <c r="Y132" t="e">
        <f>X132*W132/1000</f>
        <v>#REF!</v>
      </c>
      <c r="AA132" t="e">
        <f>W132</f>
        <v>#REF!</v>
      </c>
      <c r="AB132">
        <f>AB131</f>
        <v>326.25</v>
      </c>
      <c r="AC132" t="e">
        <f>AB132*AA132/1000</f>
        <v>#REF!</v>
      </c>
      <c r="AE132" t="e">
        <f>AA132</f>
        <v>#REF!</v>
      </c>
      <c r="AF132">
        <f>AF131</f>
        <v>326.25</v>
      </c>
      <c r="AG132" t="e">
        <f>AF132*AE132/1000</f>
        <v>#REF!</v>
      </c>
      <c r="AI132" t="e">
        <f>AE132</f>
        <v>#REF!</v>
      </c>
      <c r="AJ132">
        <f>AJ131</f>
        <v>326.25</v>
      </c>
      <c r="AK132" t="e">
        <f>AJ132*AI132/1000</f>
        <v>#REF!</v>
      </c>
      <c r="AM132" t="e">
        <f>AI132</f>
        <v>#REF!</v>
      </c>
      <c r="AN132">
        <f>AN131</f>
        <v>326.25</v>
      </c>
      <c r="AO132" t="e">
        <f>AN132*AM132/1000</f>
        <v>#REF!</v>
      </c>
      <c r="AQ132" t="e">
        <f>AM132</f>
        <v>#REF!</v>
      </c>
      <c r="AR132">
        <f>AR131</f>
        <v>326.25</v>
      </c>
      <c r="AS132" t="e">
        <f>AR132*AQ132/1000</f>
        <v>#REF!</v>
      </c>
    </row>
    <row r="133" spans="1:45" ht="15.75" customHeight="1" hidden="1">
      <c r="A133" s="39"/>
      <c r="B133" s="89"/>
      <c r="C133" s="392"/>
      <c r="D133" s="392"/>
      <c r="E133" s="392"/>
      <c r="F133" s="392"/>
      <c r="G133" s="392"/>
      <c r="H133" s="392"/>
      <c r="I133" s="392"/>
      <c r="K133" s="151">
        <f>SUM(K129:K132)</f>
        <v>2048.2</v>
      </c>
      <c r="L133">
        <f>M133/K133*1000</f>
        <v>413.87711942193147</v>
      </c>
      <c r="M133">
        <f>SUM(M129:M132)</f>
        <v>847.7031159999999</v>
      </c>
      <c r="N133" s="151"/>
      <c r="O133" s="151">
        <f>D122</f>
        <v>2048.2</v>
      </c>
      <c r="P133">
        <f>Q133/O133*1000</f>
        <v>413.87711942193147</v>
      </c>
      <c r="Q133">
        <f>SUM(Q129:Q132)</f>
        <v>847.7031159999999</v>
      </c>
      <c r="R133" s="151"/>
      <c r="S133" s="151">
        <f>H122</f>
        <v>2048.2</v>
      </c>
      <c r="T133" t="e">
        <f>U133/S133*1000</f>
        <v>#REF!</v>
      </c>
      <c r="U133" t="e">
        <f>SUM(U129:U132)</f>
        <v>#REF!</v>
      </c>
      <c r="W133" s="151" t="e">
        <f>#REF!</f>
        <v>#REF!</v>
      </c>
      <c r="X133" t="e">
        <f>Y133/W133*1000</f>
        <v>#REF!</v>
      </c>
      <c r="Y133" t="e">
        <f>SUM(Y129:Y132)</f>
        <v>#REF!</v>
      </c>
      <c r="AA133" t="e">
        <f>W133</f>
        <v>#REF!</v>
      </c>
      <c r="AB133" t="e">
        <f>AC133/AA133*1000</f>
        <v>#REF!</v>
      </c>
      <c r="AC133" t="e">
        <f>SUM(AC129:AC132)</f>
        <v>#REF!</v>
      </c>
      <c r="AE133" t="e">
        <f>AA133</f>
        <v>#REF!</v>
      </c>
      <c r="AF133" t="e">
        <f>AG133/AE133*1000</f>
        <v>#REF!</v>
      </c>
      <c r="AG133" t="e">
        <f>SUM(AG129:AG132)</f>
        <v>#REF!</v>
      </c>
      <c r="AI133" t="e">
        <f>AE133</f>
        <v>#REF!</v>
      </c>
      <c r="AJ133" t="e">
        <f>AK133/AI133*1000</f>
        <v>#REF!</v>
      </c>
      <c r="AK133" t="e">
        <f>SUM(AK129:AK132)</f>
        <v>#REF!</v>
      </c>
      <c r="AM133" t="e">
        <f>AI133</f>
        <v>#REF!</v>
      </c>
      <c r="AN133" t="e">
        <f>AO133/AM133*1000</f>
        <v>#REF!</v>
      </c>
      <c r="AO133" t="e">
        <f>SUM(AO129:AO132)</f>
        <v>#REF!</v>
      </c>
      <c r="AQ133" t="e">
        <f>AM133</f>
        <v>#REF!</v>
      </c>
      <c r="AR133" t="e">
        <f>AS133/AQ133*1000</f>
        <v>#REF!</v>
      </c>
      <c r="AS133" t="e">
        <f>SUM(AS129:AS132)</f>
        <v>#REF!</v>
      </c>
    </row>
    <row r="134" spans="1:45" ht="15.75" customHeight="1" hidden="1">
      <c r="A134" s="39"/>
      <c r="B134" s="89"/>
      <c r="C134" s="392"/>
      <c r="D134" s="392"/>
      <c r="E134" s="392"/>
      <c r="F134" s="392"/>
      <c r="G134" s="392"/>
      <c r="H134" s="392"/>
      <c r="I134" s="392"/>
      <c r="Q134">
        <f>Q133/1.45</f>
        <v>584.6228386206897</v>
      </c>
      <c r="U134" t="e">
        <f>U133/1.45</f>
        <v>#REF!</v>
      </c>
      <c r="Y134" t="e">
        <f>Y133/1.45</f>
        <v>#REF!</v>
      </c>
      <c r="AC134" t="e">
        <f>AC133/1.45</f>
        <v>#REF!</v>
      </c>
      <c r="AG134" t="e">
        <f>AG133/1.45</f>
        <v>#REF!</v>
      </c>
      <c r="AK134" t="e">
        <f>AK133/1.45</f>
        <v>#REF!</v>
      </c>
      <c r="AO134" t="e">
        <f>AO133/1.45</f>
        <v>#REF!</v>
      </c>
      <c r="AS134" t="e">
        <f>AS133/1.45</f>
        <v>#REF!</v>
      </c>
    </row>
    <row r="135" spans="1:45" ht="15.75" customHeight="1" hidden="1">
      <c r="A135" s="39"/>
      <c r="B135" s="89"/>
      <c r="C135" s="392"/>
      <c r="D135" s="392"/>
      <c r="E135" s="392"/>
      <c r="F135" s="392"/>
      <c r="G135" s="392"/>
      <c r="H135" s="392"/>
      <c r="I135" s="392"/>
      <c r="Q135" s="90">
        <f>Q134*E126/1000</f>
        <v>18387.016744172208</v>
      </c>
      <c r="U135" t="e">
        <f>U134*F126/1000</f>
        <v>#REF!</v>
      </c>
      <c r="Y135" t="e">
        <f>Y134*G126/1000</f>
        <v>#REF!</v>
      </c>
      <c r="AC135" t="e">
        <f>AC134*H126/1000</f>
        <v>#REF!</v>
      </c>
      <c r="AG135" t="e">
        <f>AG134*I126/1000</f>
        <v>#REF!</v>
      </c>
      <c r="AK135" t="e">
        <f>AK134*#REF!/1000</f>
        <v>#REF!</v>
      </c>
      <c r="AO135" t="e">
        <f>AO134*#REF!/1000</f>
        <v>#REF!</v>
      </c>
      <c r="AS135" t="e">
        <f>AS134*#REF!/1000</f>
        <v>#REF!</v>
      </c>
    </row>
    <row r="136" spans="1:45" ht="15.75" customHeight="1" hidden="1">
      <c r="A136" s="39"/>
      <c r="B136" s="89"/>
      <c r="C136" s="392"/>
      <c r="D136" s="392"/>
      <c r="E136" s="392"/>
      <c r="F136" s="392"/>
      <c r="G136" s="392"/>
      <c r="H136" s="392"/>
      <c r="I136" s="392"/>
      <c r="Q136" s="151" t="e">
        <f>Q135-E127</f>
        <v>#VALUE!</v>
      </c>
      <c r="U136" s="151" t="e">
        <f>U135-F127</f>
        <v>#REF!</v>
      </c>
      <c r="Y136" s="151" t="e">
        <f>Y135-G127</f>
        <v>#REF!</v>
      </c>
      <c r="AC136" s="151" t="e">
        <f>AC135-H127</f>
        <v>#REF!</v>
      </c>
      <c r="AG136" s="151" t="e">
        <f>AG135-I127</f>
        <v>#REF!</v>
      </c>
      <c r="AK136" s="151" t="e">
        <f>AK135-#REF!</f>
        <v>#REF!</v>
      </c>
      <c r="AO136" s="151" t="e">
        <f>AO135-#REF!</f>
        <v>#REF!</v>
      </c>
      <c r="AS136" s="151" t="e">
        <f>AS135-#REF!</f>
        <v>#REF!</v>
      </c>
    </row>
    <row r="137" spans="1:9" ht="15.75" customHeight="1" hidden="1">
      <c r="A137" s="39"/>
      <c r="B137" s="89"/>
      <c r="C137" s="392"/>
      <c r="D137" s="392"/>
      <c r="E137" s="392"/>
      <c r="F137" s="392"/>
      <c r="G137" s="392"/>
      <c r="H137" s="392"/>
      <c r="I137" s="392"/>
    </row>
    <row r="138" spans="1:9" ht="15.75" customHeight="1" hidden="1">
      <c r="A138" s="39"/>
      <c r="B138" s="89"/>
      <c r="C138" s="392"/>
      <c r="D138" s="392"/>
      <c r="E138" s="392"/>
      <c r="F138" s="392"/>
      <c r="G138" s="392"/>
      <c r="H138" s="392"/>
      <c r="I138" s="392"/>
    </row>
    <row r="139" spans="1:9" ht="15.75" customHeight="1" hidden="1">
      <c r="A139" s="39"/>
      <c r="B139" s="89"/>
      <c r="C139" s="392"/>
      <c r="D139" s="392"/>
      <c r="E139" s="392"/>
      <c r="F139" s="392"/>
      <c r="G139" s="392"/>
      <c r="H139" s="392"/>
      <c r="I139" s="392"/>
    </row>
    <row r="140" spans="1:9" ht="15.75" customHeight="1" hidden="1">
      <c r="A140" s="39"/>
      <c r="B140" s="89"/>
      <c r="C140" s="392"/>
      <c r="D140" s="392"/>
      <c r="E140" s="392"/>
      <c r="F140" s="392"/>
      <c r="G140" s="392"/>
      <c r="H140" s="392"/>
      <c r="I140" s="392"/>
    </row>
    <row r="141" spans="1:9" ht="15.75" customHeight="1" hidden="1">
      <c r="A141" s="39"/>
      <c r="B141" s="89"/>
      <c r="C141" s="392"/>
      <c r="D141" s="392"/>
      <c r="E141" s="392"/>
      <c r="F141" s="392"/>
      <c r="G141" s="392"/>
      <c r="H141" s="392"/>
      <c r="I141" s="392"/>
    </row>
    <row r="142" spans="1:9" ht="15.75" customHeight="1" hidden="1">
      <c r="A142" s="39"/>
      <c r="B142" s="89"/>
      <c r="C142" s="392"/>
      <c r="D142" s="392"/>
      <c r="E142" s="392"/>
      <c r="F142" s="392"/>
      <c r="G142" s="392"/>
      <c r="H142" s="392"/>
      <c r="I142" s="392"/>
    </row>
    <row r="143" spans="3:9" ht="15.75" customHeight="1" hidden="1">
      <c r="C143" s="393"/>
      <c r="D143" s="393"/>
      <c r="E143" s="393"/>
      <c r="F143" s="393"/>
      <c r="G143" s="394"/>
      <c r="H143" s="394"/>
      <c r="I143" s="394"/>
    </row>
    <row r="144" spans="3:9" ht="15.75" customHeight="1" hidden="1">
      <c r="C144" s="393">
        <f>C108-C111</f>
        <v>12601</v>
      </c>
      <c r="D144" s="393">
        <f aca="true" t="shared" si="18" ref="D144:I144">D108-D111</f>
        <v>12541</v>
      </c>
      <c r="E144" s="393">
        <f t="shared" si="18"/>
        <v>15312</v>
      </c>
      <c r="F144" s="393">
        <f t="shared" si="18"/>
        <v>17.203</v>
      </c>
      <c r="G144" s="393">
        <f t="shared" si="18"/>
        <v>12.44</v>
      </c>
      <c r="H144" s="393">
        <f t="shared" si="18"/>
        <v>15425</v>
      </c>
      <c r="I144" s="393">
        <f t="shared" si="18"/>
        <v>16775</v>
      </c>
    </row>
    <row r="145" spans="2:9" ht="15.75" customHeight="1" hidden="1">
      <c r="B145" s="87"/>
      <c r="C145" s="393"/>
      <c r="D145" s="393"/>
      <c r="E145" s="393"/>
      <c r="F145" s="393"/>
      <c r="G145" s="394"/>
      <c r="H145" s="394"/>
      <c r="I145" s="394"/>
    </row>
    <row r="146" spans="3:9" ht="31.5" customHeight="1" hidden="1">
      <c r="C146" s="393"/>
      <c r="D146" s="393"/>
      <c r="E146" s="393"/>
      <c r="F146" s="393"/>
      <c r="G146" s="394"/>
      <c r="H146" s="394"/>
      <c r="I146" s="394"/>
    </row>
    <row r="147" spans="3:9" ht="15.75" customHeight="1" hidden="1">
      <c r="C147" s="393"/>
      <c r="D147" s="393"/>
      <c r="E147" s="393"/>
      <c r="F147" s="393"/>
      <c r="G147" s="394"/>
      <c r="H147" s="394"/>
      <c r="I147" s="394"/>
    </row>
    <row r="148" spans="1:10" ht="15.75">
      <c r="A148" s="82" t="s">
        <v>165</v>
      </c>
      <c r="B148" s="74" t="s">
        <v>170</v>
      </c>
      <c r="C148" s="236"/>
      <c r="D148" s="236"/>
      <c r="E148" s="236"/>
      <c r="F148" s="236"/>
      <c r="G148" s="236"/>
      <c r="H148" s="236"/>
      <c r="I148" s="236"/>
      <c r="J148" s="72"/>
    </row>
    <row r="149" spans="1:10" ht="15.75">
      <c r="A149" s="82"/>
      <c r="B149" s="73" t="s">
        <v>171</v>
      </c>
      <c r="C149" s="238"/>
      <c r="D149" s="238"/>
      <c r="E149" s="238"/>
      <c r="F149" s="238"/>
      <c r="G149" s="238"/>
      <c r="H149" s="238"/>
      <c r="I149" s="238"/>
      <c r="J149" s="72"/>
    </row>
    <row r="150" spans="1:10" s="32" customFormat="1" ht="15.75">
      <c r="A150" s="82" t="s">
        <v>66</v>
      </c>
      <c r="B150" s="74" t="s">
        <v>172</v>
      </c>
      <c r="C150" s="236"/>
      <c r="D150" s="236"/>
      <c r="E150" s="236">
        <f>E153+E156</f>
        <v>0</v>
      </c>
      <c r="F150" s="236">
        <f>F153+F156</f>
        <v>0</v>
      </c>
      <c r="G150" s="236">
        <f>G153+G156</f>
        <v>0</v>
      </c>
      <c r="H150" s="236">
        <f>H153+H156</f>
        <v>0</v>
      </c>
      <c r="I150" s="236">
        <f>I153+I156</f>
        <v>0</v>
      </c>
      <c r="J150" s="144"/>
    </row>
    <row r="151" spans="1:10" ht="15.75">
      <c r="A151" s="85"/>
      <c r="B151" s="167" t="s">
        <v>281</v>
      </c>
      <c r="C151" s="239"/>
      <c r="D151" s="239"/>
      <c r="E151" s="239">
        <f aca="true" t="shared" si="19" ref="E151:I152">E154+E157</f>
        <v>0</v>
      </c>
      <c r="F151" s="239">
        <f t="shared" si="19"/>
        <v>0</v>
      </c>
      <c r="G151" s="239">
        <f t="shared" si="19"/>
        <v>0</v>
      </c>
      <c r="H151" s="239">
        <f t="shared" si="19"/>
        <v>0</v>
      </c>
      <c r="I151" s="239">
        <f t="shared" si="19"/>
        <v>0</v>
      </c>
      <c r="J151" s="72"/>
    </row>
    <row r="152" spans="1:10" ht="15.75">
      <c r="A152" s="85"/>
      <c r="B152" s="167" t="s">
        <v>282</v>
      </c>
      <c r="C152" s="239"/>
      <c r="D152" s="239"/>
      <c r="E152" s="239">
        <f t="shared" si="19"/>
        <v>0</v>
      </c>
      <c r="F152" s="239">
        <f t="shared" si="19"/>
        <v>0</v>
      </c>
      <c r="G152" s="239">
        <f t="shared" si="19"/>
        <v>0</v>
      </c>
      <c r="H152" s="239">
        <f>H155+H158</f>
        <v>0</v>
      </c>
      <c r="I152" s="239">
        <f t="shared" si="19"/>
        <v>0</v>
      </c>
      <c r="J152" s="72"/>
    </row>
    <row r="153" spans="1:10" ht="15.75">
      <c r="A153" s="85" t="s">
        <v>22</v>
      </c>
      <c r="B153" s="73" t="s">
        <v>244</v>
      </c>
      <c r="C153" s="233"/>
      <c r="D153" s="233"/>
      <c r="E153" s="233">
        <f>E154+E155</f>
        <v>0</v>
      </c>
      <c r="F153" s="233">
        <f>F154+F155</f>
        <v>0</v>
      </c>
      <c r="G153" s="233">
        <f>G154+G155</f>
        <v>0</v>
      </c>
      <c r="H153" s="233">
        <f>H154+H155</f>
        <v>0</v>
      </c>
      <c r="I153" s="233">
        <f>I154+I155</f>
        <v>0</v>
      </c>
      <c r="J153" s="134"/>
    </row>
    <row r="154" spans="1:10" ht="15.75">
      <c r="A154" s="85"/>
      <c r="B154" s="167" t="s">
        <v>281</v>
      </c>
      <c r="C154" s="239"/>
      <c r="D154" s="239"/>
      <c r="E154" s="239">
        <f>'[2]Sheet1'!$L$48</f>
        <v>0</v>
      </c>
      <c r="F154" s="239">
        <f>'приложение 4.2 2016-2017 ген'!D37</f>
        <v>0</v>
      </c>
      <c r="G154" s="239">
        <f>'приложение 4.2 2016-2017 ген'!E37</f>
        <v>0</v>
      </c>
      <c r="H154" s="239">
        <f>'приложение 4.2 2016-2017 ген'!F37</f>
        <v>0</v>
      </c>
      <c r="I154" s="239">
        <f>'приложение 4.2 2016-2017 ген'!G37</f>
        <v>0</v>
      </c>
      <c r="J154" s="134"/>
    </row>
    <row r="155" spans="1:10" ht="15.75">
      <c r="A155" s="85"/>
      <c r="B155" s="167" t="s">
        <v>282</v>
      </c>
      <c r="C155" s="239"/>
      <c r="D155" s="239"/>
      <c r="E155" s="239">
        <f>'[2]Sheet1'!$L$52</f>
        <v>0</v>
      </c>
      <c r="F155" s="239">
        <f>'приложение 4.2 2016-2017 тр'!D36</f>
        <v>0</v>
      </c>
      <c r="G155" s="239">
        <f>'приложение 4.2 2016-2017 тр'!E36</f>
        <v>0</v>
      </c>
      <c r="H155" s="239">
        <f>'приложение 4.2 2016-2017 тр'!F36</f>
        <v>0</v>
      </c>
      <c r="I155" s="239">
        <f>'приложение 4.2 2016-2017 тр'!G36</f>
        <v>0</v>
      </c>
      <c r="J155" s="134"/>
    </row>
    <row r="156" spans="1:10" ht="15.75">
      <c r="A156" s="85" t="s">
        <v>24</v>
      </c>
      <c r="B156" s="73" t="s">
        <v>148</v>
      </c>
      <c r="C156" s="238"/>
      <c r="D156" s="238"/>
      <c r="E156" s="238">
        <f>E157+E158</f>
        <v>0</v>
      </c>
      <c r="F156" s="238">
        <f>F157+F158</f>
        <v>0</v>
      </c>
      <c r="G156" s="238">
        <f>G157+G158</f>
        <v>0</v>
      </c>
      <c r="H156" s="238">
        <f>H157+H158</f>
        <v>0</v>
      </c>
      <c r="I156" s="238">
        <f>I157+I158</f>
        <v>0</v>
      </c>
      <c r="J156" s="134"/>
    </row>
    <row r="157" spans="1:10" ht="15.75">
      <c r="A157" s="85"/>
      <c r="B157" s="167" t="s">
        <v>281</v>
      </c>
      <c r="C157" s="239"/>
      <c r="D157" s="239"/>
      <c r="E157" s="239">
        <f>E154*0.25</f>
        <v>0</v>
      </c>
      <c r="F157" s="239">
        <f aca="true" t="shared" si="20" ref="F157:I158">F154*0.28</f>
        <v>0</v>
      </c>
      <c r="G157" s="239">
        <f t="shared" si="20"/>
        <v>0</v>
      </c>
      <c r="H157" s="239">
        <f t="shared" si="20"/>
        <v>0</v>
      </c>
      <c r="I157" s="239">
        <f t="shared" si="20"/>
        <v>0</v>
      </c>
      <c r="J157" s="134"/>
    </row>
    <row r="158" spans="1:10" ht="15.75">
      <c r="A158" s="85"/>
      <c r="B158" s="167" t="s">
        <v>282</v>
      </c>
      <c r="C158" s="239"/>
      <c r="D158" s="239"/>
      <c r="E158" s="239">
        <f>E155*0.25</f>
        <v>0</v>
      </c>
      <c r="F158" s="239">
        <f t="shared" si="20"/>
        <v>0</v>
      </c>
      <c r="G158" s="239">
        <f t="shared" si="20"/>
        <v>0</v>
      </c>
      <c r="H158" s="239">
        <f t="shared" si="20"/>
        <v>0</v>
      </c>
      <c r="I158" s="239">
        <f t="shared" si="20"/>
        <v>0</v>
      </c>
      <c r="J158" s="134"/>
    </row>
    <row r="159" spans="1:10" ht="15.75">
      <c r="A159" s="85" t="s">
        <v>29</v>
      </c>
      <c r="B159" s="73" t="s">
        <v>174</v>
      </c>
      <c r="C159" s="236"/>
      <c r="D159" s="236"/>
      <c r="E159" s="236"/>
      <c r="F159" s="236"/>
      <c r="G159" s="236"/>
      <c r="H159" s="236"/>
      <c r="I159" s="236"/>
      <c r="J159" s="72"/>
    </row>
    <row r="160" spans="1:10" ht="15.75">
      <c r="A160" s="82" t="s">
        <v>169</v>
      </c>
      <c r="B160" s="74" t="s">
        <v>175</v>
      </c>
      <c r="C160" s="238"/>
      <c r="D160" s="238"/>
      <c r="E160" s="238"/>
      <c r="F160" s="238"/>
      <c r="G160" s="238"/>
      <c r="H160" s="238"/>
      <c r="I160" s="238"/>
      <c r="J160" s="72"/>
    </row>
    <row r="161" spans="1:10" ht="15.75">
      <c r="A161" s="82"/>
      <c r="B161" s="73" t="s">
        <v>176</v>
      </c>
      <c r="C161" s="238"/>
      <c r="D161" s="238"/>
      <c r="E161" s="238"/>
      <c r="F161" s="238"/>
      <c r="G161" s="238"/>
      <c r="H161" s="238"/>
      <c r="I161" s="238"/>
      <c r="J161" s="72"/>
    </row>
    <row r="162" spans="1:10" ht="15.75">
      <c r="A162" s="85" t="s">
        <v>66</v>
      </c>
      <c r="B162" s="73" t="s">
        <v>177</v>
      </c>
      <c r="C162" s="236"/>
      <c r="D162" s="236"/>
      <c r="E162" s="236"/>
      <c r="F162" s="236"/>
      <c r="G162" s="236">
        <f>G163+G164</f>
        <v>0</v>
      </c>
      <c r="H162" s="236">
        <f>H163+H164</f>
        <v>0</v>
      </c>
      <c r="I162" s="236">
        <f>I163+I164</f>
        <v>0</v>
      </c>
      <c r="J162" s="134"/>
    </row>
    <row r="163" spans="1:10" ht="15.75">
      <c r="A163" s="85"/>
      <c r="B163" s="167" t="s">
        <v>281</v>
      </c>
      <c r="C163" s="236"/>
      <c r="D163" s="236"/>
      <c r="E163" s="238"/>
      <c r="F163" s="238"/>
      <c r="G163" s="238">
        <f>G166+G172</f>
        <v>0</v>
      </c>
      <c r="H163" s="238">
        <f aca="true" t="shared" si="21" ref="G163:I164">H166+H172</f>
        <v>0</v>
      </c>
      <c r="I163" s="238">
        <f t="shared" si="21"/>
        <v>0</v>
      </c>
      <c r="J163" s="72"/>
    </row>
    <row r="164" spans="1:10" ht="15.75">
      <c r="A164" s="85"/>
      <c r="B164" s="167" t="s">
        <v>282</v>
      </c>
      <c r="C164" s="236"/>
      <c r="D164" s="236"/>
      <c r="E164" s="238"/>
      <c r="F164" s="238"/>
      <c r="G164" s="238">
        <f t="shared" si="21"/>
        <v>0</v>
      </c>
      <c r="H164" s="238">
        <f t="shared" si="21"/>
        <v>0</v>
      </c>
      <c r="I164" s="238">
        <f t="shared" si="21"/>
        <v>0</v>
      </c>
      <c r="J164" s="72"/>
    </row>
    <row r="165" spans="1:10" ht="15.75">
      <c r="A165" s="85" t="s">
        <v>22</v>
      </c>
      <c r="B165" s="73" t="s">
        <v>292</v>
      </c>
      <c r="C165" s="236"/>
      <c r="D165" s="236"/>
      <c r="E165" s="238"/>
      <c r="F165" s="238"/>
      <c r="G165" s="238">
        <f>G166+G167</f>
        <v>0</v>
      </c>
      <c r="H165" s="238">
        <f>H166+H167</f>
        <v>0</v>
      </c>
      <c r="I165" s="238">
        <f>I166+I167</f>
        <v>0</v>
      </c>
      <c r="J165" s="134"/>
    </row>
    <row r="166" spans="1:10" ht="15.75">
      <c r="A166" s="85"/>
      <c r="B166" s="167" t="s">
        <v>281</v>
      </c>
      <c r="C166" s="236"/>
      <c r="D166" s="236"/>
      <c r="E166" s="238"/>
      <c r="F166" s="238"/>
      <c r="G166" s="238">
        <f aca="true" t="shared" si="22" ref="G166:I167">F154</f>
        <v>0</v>
      </c>
      <c r="H166" s="238">
        <f t="shared" si="22"/>
        <v>0</v>
      </c>
      <c r="I166" s="238">
        <f t="shared" si="22"/>
        <v>0</v>
      </c>
      <c r="J166" s="134"/>
    </row>
    <row r="167" spans="1:10" ht="15.75">
      <c r="A167" s="85"/>
      <c r="B167" s="167" t="s">
        <v>282</v>
      </c>
      <c r="C167" s="236"/>
      <c r="D167" s="236"/>
      <c r="E167" s="238"/>
      <c r="F167" s="238"/>
      <c r="G167" s="238">
        <f t="shared" si="22"/>
        <v>0</v>
      </c>
      <c r="H167" s="238">
        <f t="shared" si="22"/>
        <v>0</v>
      </c>
      <c r="I167" s="238">
        <f t="shared" si="22"/>
        <v>0</v>
      </c>
      <c r="J167" s="134"/>
    </row>
    <row r="168" spans="1:10" ht="31.5" customHeight="1" hidden="1">
      <c r="A168" s="177" t="s">
        <v>24</v>
      </c>
      <c r="B168" s="73" t="s">
        <v>274</v>
      </c>
      <c r="C168" s="236"/>
      <c r="D168" s="236"/>
      <c r="E168" s="238"/>
      <c r="F168" s="238"/>
      <c r="G168" s="238"/>
      <c r="H168" s="238"/>
      <c r="I168" s="238"/>
      <c r="J168" s="134"/>
    </row>
    <row r="169" spans="1:10" ht="15.75" customHeight="1" hidden="1">
      <c r="A169" s="85"/>
      <c r="B169" s="167" t="s">
        <v>281</v>
      </c>
      <c r="C169" s="236"/>
      <c r="D169" s="236"/>
      <c r="E169" s="233"/>
      <c r="F169" s="238"/>
      <c r="G169" s="238"/>
      <c r="H169" s="238"/>
      <c r="I169" s="238"/>
      <c r="J169" s="134"/>
    </row>
    <row r="170" spans="1:10" ht="15.75" customHeight="1" hidden="1">
      <c r="A170" s="85"/>
      <c r="B170" s="167" t="s">
        <v>282</v>
      </c>
      <c r="C170" s="236"/>
      <c r="D170" s="236"/>
      <c r="E170" s="238"/>
      <c r="F170" s="238"/>
      <c r="G170" s="238"/>
      <c r="H170" s="238"/>
      <c r="I170" s="238"/>
      <c r="J170" s="134"/>
    </row>
    <row r="171" spans="1:10" ht="15.75">
      <c r="A171" s="85" t="s">
        <v>24</v>
      </c>
      <c r="B171" s="73" t="s">
        <v>379</v>
      </c>
      <c r="C171" s="236"/>
      <c r="D171" s="236"/>
      <c r="E171" s="238"/>
      <c r="F171" s="238"/>
      <c r="G171" s="238">
        <f>G172+G173</f>
        <v>0</v>
      </c>
      <c r="H171" s="238">
        <f>H172+H173</f>
        <v>0</v>
      </c>
      <c r="I171" s="238">
        <f>I172+I173</f>
        <v>0</v>
      </c>
      <c r="J171" s="134"/>
    </row>
    <row r="172" spans="1:10" ht="15.75">
      <c r="A172" s="85"/>
      <c r="B172" s="167" t="s">
        <v>281</v>
      </c>
      <c r="C172" s="236"/>
      <c r="D172" s="236"/>
      <c r="E172" s="239"/>
      <c r="F172" s="239"/>
      <c r="G172" s="239">
        <f aca="true" t="shared" si="23" ref="G172:I173">F157</f>
        <v>0</v>
      </c>
      <c r="H172" s="239">
        <f t="shared" si="23"/>
        <v>0</v>
      </c>
      <c r="I172" s="239">
        <f t="shared" si="23"/>
        <v>0</v>
      </c>
      <c r="J172" s="134"/>
    </row>
    <row r="173" spans="1:10" ht="15.75">
      <c r="A173" s="85"/>
      <c r="B173" s="167" t="s">
        <v>282</v>
      </c>
      <c r="C173" s="236"/>
      <c r="D173" s="236"/>
      <c r="E173" s="239"/>
      <c r="F173" s="239"/>
      <c r="G173" s="239">
        <f t="shared" si="23"/>
        <v>0</v>
      </c>
      <c r="H173" s="239">
        <f t="shared" si="23"/>
        <v>0</v>
      </c>
      <c r="I173" s="239">
        <f t="shared" si="23"/>
        <v>0</v>
      </c>
      <c r="J173" s="134"/>
    </row>
    <row r="174" spans="3:9" ht="15.75" customHeight="1" hidden="1">
      <c r="C174" s="395"/>
      <c r="D174" s="395"/>
      <c r="E174" s="395"/>
      <c r="F174" s="395"/>
      <c r="G174" s="396"/>
      <c r="H174" s="396"/>
      <c r="I174" s="396"/>
    </row>
    <row r="175" spans="3:9" ht="15.75" customHeight="1" hidden="1">
      <c r="C175" s="395"/>
      <c r="D175" s="395"/>
      <c r="E175" s="395"/>
      <c r="F175" s="395"/>
      <c r="G175" s="396"/>
      <c r="H175" s="396"/>
      <c r="I175" s="396"/>
    </row>
    <row r="176" spans="3:9" ht="15.75" customHeight="1" hidden="1">
      <c r="C176" s="395"/>
      <c r="D176" s="395"/>
      <c r="E176" s="395"/>
      <c r="F176" s="395"/>
      <c r="G176" s="396"/>
      <c r="H176" s="396"/>
      <c r="I176" s="396"/>
    </row>
    <row r="177" spans="1:10" ht="15.75">
      <c r="A177" s="85" t="s">
        <v>29</v>
      </c>
      <c r="B177" s="73" t="s">
        <v>174</v>
      </c>
      <c r="C177" s="236"/>
      <c r="D177" s="236"/>
      <c r="E177" s="236"/>
      <c r="F177" s="236"/>
      <c r="G177" s="236"/>
      <c r="H177" s="236"/>
      <c r="I177" s="236"/>
      <c r="J177" s="134"/>
    </row>
    <row r="178" spans="1:9" s="32" customFormat="1" ht="31.5">
      <c r="A178" s="44" t="s">
        <v>179</v>
      </c>
      <c r="B178" s="74" t="s">
        <v>293</v>
      </c>
      <c r="C178" s="101">
        <f>C97+C171</f>
        <v>64262</v>
      </c>
      <c r="D178" s="101">
        <f>D97+D171</f>
        <v>83603</v>
      </c>
      <c r="E178" s="101">
        <f>E97+E150</f>
        <v>198439</v>
      </c>
      <c r="F178" s="101">
        <f>F97+F162-F168</f>
        <v>162761</v>
      </c>
      <c r="G178" s="101">
        <f>G97+G162-G168</f>
        <v>261965.08000000002</v>
      </c>
      <c r="H178" s="101">
        <f>H97+H162-H168</f>
        <v>222383</v>
      </c>
      <c r="I178" s="101">
        <f>I97+I162-I168</f>
        <v>208840.9</v>
      </c>
    </row>
    <row r="179" spans="1:9" s="32" customFormat="1" ht="31.5">
      <c r="A179" s="44" t="s">
        <v>183</v>
      </c>
      <c r="B179" s="74" t="s">
        <v>294</v>
      </c>
      <c r="C179" s="256">
        <f>C178/C108</f>
        <v>5.099753987778747</v>
      </c>
      <c r="D179" s="256">
        <f>D178/D108</f>
        <v>6.666374292321186</v>
      </c>
      <c r="E179" s="256">
        <f>E178/E108</f>
        <v>12.959704806687565</v>
      </c>
      <c r="F179" s="234">
        <f>F178/F108/1000</f>
        <v>9.461198628146255</v>
      </c>
      <c r="G179" s="234">
        <f>G178/G108/1000</f>
        <v>21.05828617363344</v>
      </c>
      <c r="H179" s="256">
        <f>H178/H108</f>
        <v>14.41705024311183</v>
      </c>
      <c r="I179" s="256">
        <f>I178/I108</f>
        <v>12.449532041728762</v>
      </c>
    </row>
    <row r="180" spans="1:9" ht="31.5" hidden="1">
      <c r="A180" s="48" t="s">
        <v>66</v>
      </c>
      <c r="B180" s="89" t="s">
        <v>269</v>
      </c>
      <c r="C180" s="48">
        <v>21.32</v>
      </c>
      <c r="D180" s="97">
        <f aca="true" t="shared" si="24" ref="D180:I180">D181/D122</f>
        <v>16.8088995215311</v>
      </c>
      <c r="E180" s="97">
        <f t="shared" si="24"/>
        <v>17.95432406991505</v>
      </c>
      <c r="F180" s="97">
        <f t="shared" si="24"/>
        <v>18.192395736353873</v>
      </c>
      <c r="G180" s="97">
        <f t="shared" si="24"/>
        <v>15.507110995441854</v>
      </c>
      <c r="H180" s="97">
        <f t="shared" si="24"/>
        <v>16.506232062185184</v>
      </c>
      <c r="I180" s="97">
        <f t="shared" si="24"/>
        <v>17.783318157865356</v>
      </c>
    </row>
    <row r="181" spans="1:9" ht="15.75" hidden="1">
      <c r="A181" s="49"/>
      <c r="C181" s="49">
        <v>30694</v>
      </c>
      <c r="D181" s="88">
        <f>(C181-C29)*1.142+D29</f>
        <v>34427.988</v>
      </c>
      <c r="E181" s="88">
        <f>(D181-D29)*1.12+E29+E171</f>
        <v>36774.04656</v>
      </c>
      <c r="F181" s="88">
        <f>(E181-E29-E171)*1.12+F29+F171</f>
        <v>37261.6649472</v>
      </c>
      <c r="G181" s="88">
        <f>(F181-F29-F171)*1.12+G29+G171</f>
        <v>31761.664740864002</v>
      </c>
      <c r="H181" s="88">
        <f>(G181-G29-G171)*1.12+H29+H171</f>
        <v>33808.06450976769</v>
      </c>
      <c r="I181" s="88">
        <f>(H181-H29-H171)*1.12+I29+I171</f>
        <v>36423.79225093982</v>
      </c>
    </row>
    <row r="182" spans="1:9" ht="31.5" hidden="1">
      <c r="A182" s="48" t="s">
        <v>29</v>
      </c>
      <c r="B182" s="89" t="s">
        <v>270</v>
      </c>
      <c r="C182" s="97">
        <f>C179</f>
        <v>5.099753987778747</v>
      </c>
      <c r="D182" s="97">
        <f>D179</f>
        <v>6.666374292321186</v>
      </c>
      <c r="E182" s="97" t="e">
        <f>(E97+E171-E168+Q136)/E108</f>
        <v>#VALUE!</v>
      </c>
      <c r="F182" s="97" t="e">
        <f>(F178+U136)/F108</f>
        <v>#REF!</v>
      </c>
      <c r="G182" s="97" t="e">
        <f>(G178+Y136)/G108</f>
        <v>#REF!</v>
      </c>
      <c r="H182" s="97" t="e">
        <f>(H178+AC136)/H108</f>
        <v>#REF!</v>
      </c>
      <c r="I182" s="97" t="e">
        <f>(I178+AG136)/I108</f>
        <v>#REF!</v>
      </c>
    </row>
    <row r="183" spans="1:9" ht="15.75" hidden="1">
      <c r="A183" s="48" t="s">
        <v>31</v>
      </c>
      <c r="B183" s="39" t="s">
        <v>271</v>
      </c>
      <c r="C183" s="98">
        <f aca="true" t="shared" si="25" ref="C183:I183">C182/C179*100-100</f>
        <v>0</v>
      </c>
      <c r="D183" s="98">
        <f t="shared" si="25"/>
        <v>0</v>
      </c>
      <c r="E183" s="98"/>
      <c r="F183" s="153" t="e">
        <f t="shared" si="25"/>
        <v>#REF!</v>
      </c>
      <c r="G183" s="153" t="e">
        <f t="shared" si="25"/>
        <v>#REF!</v>
      </c>
      <c r="H183" s="153" t="e">
        <f t="shared" si="25"/>
        <v>#REF!</v>
      </c>
      <c r="I183" s="153" t="e">
        <f t="shared" si="25"/>
        <v>#REF!</v>
      </c>
    </row>
    <row r="184" spans="1:9" ht="15.75">
      <c r="A184" s="192"/>
      <c r="B184" s="25"/>
      <c r="C184" s="261"/>
      <c r="D184" s="261"/>
      <c r="E184" s="261"/>
      <c r="F184" s="262"/>
      <c r="G184" s="262"/>
      <c r="H184" s="262"/>
      <c r="I184" s="262"/>
    </row>
    <row r="185" spans="1:9" ht="15.75">
      <c r="A185" s="26" t="s">
        <v>320</v>
      </c>
      <c r="B185" s="25"/>
      <c r="C185" s="261"/>
      <c r="D185" s="261"/>
      <c r="E185" s="261"/>
      <c r="F185" s="262"/>
      <c r="G185" s="262"/>
      <c r="H185" s="262"/>
      <c r="I185" s="262"/>
    </row>
    <row r="186" spans="1:9" ht="15.75">
      <c r="A186" s="192"/>
      <c r="B186" s="25"/>
      <c r="C186" s="261"/>
      <c r="D186" s="261"/>
      <c r="E186" s="261"/>
      <c r="F186" s="262"/>
      <c r="G186" s="262"/>
      <c r="H186" s="262"/>
      <c r="I186" s="262"/>
    </row>
    <row r="187" spans="1:9" ht="15.75">
      <c r="A187" s="192"/>
      <c r="B187" s="25"/>
      <c r="C187" s="261"/>
      <c r="D187" s="261"/>
      <c r="E187" s="261"/>
      <c r="F187" s="262"/>
      <c r="G187" s="262"/>
      <c r="H187" s="262"/>
      <c r="I187" s="262"/>
    </row>
    <row r="188" spans="3:9" ht="15.75">
      <c r="C188" s="261"/>
      <c r="D188" s="261"/>
      <c r="E188" s="261"/>
      <c r="F188" s="262"/>
      <c r="G188" s="262"/>
      <c r="H188" s="262"/>
      <c r="I188" s="262"/>
    </row>
    <row r="190" spans="1:9" ht="33" customHeight="1">
      <c r="A190" s="585" t="s">
        <v>230</v>
      </c>
      <c r="B190" s="585"/>
      <c r="C190" s="585"/>
      <c r="D190" s="88"/>
      <c r="H190" s="620" t="s">
        <v>231</v>
      </c>
      <c r="I190" s="620"/>
    </row>
    <row r="193" spans="4:10" ht="15.75" hidden="1">
      <c r="D193" s="88">
        <f aca="true" t="shared" si="26" ref="D193:I193">D35</f>
        <v>0</v>
      </c>
      <c r="E193" s="88">
        <f t="shared" si="26"/>
        <v>0</v>
      </c>
      <c r="F193" s="88">
        <f t="shared" si="26"/>
        <v>135</v>
      </c>
      <c r="G193" s="88">
        <f t="shared" si="26"/>
        <v>0</v>
      </c>
      <c r="H193" s="88">
        <f t="shared" si="26"/>
        <v>0</v>
      </c>
      <c r="I193" s="88">
        <f t="shared" si="26"/>
        <v>0</v>
      </c>
      <c r="J193" s="102">
        <f>SUM(D193:I193)</f>
        <v>135</v>
      </c>
    </row>
  </sheetData>
  <sheetProtection/>
  <mergeCells count="18">
    <mergeCell ref="H5:I5"/>
    <mergeCell ref="F7:I7"/>
    <mergeCell ref="H16:H18"/>
    <mergeCell ref="H190:I190"/>
    <mergeCell ref="H1:I1"/>
    <mergeCell ref="B6:I6"/>
    <mergeCell ref="B8:I8"/>
    <mergeCell ref="F9:I9"/>
    <mergeCell ref="A190:C190"/>
    <mergeCell ref="A16:A18"/>
    <mergeCell ref="B16:B18"/>
    <mergeCell ref="C16:C18"/>
    <mergeCell ref="A12:I12"/>
    <mergeCell ref="I16:I18"/>
    <mergeCell ref="D16:D18"/>
    <mergeCell ref="E16:E18"/>
    <mergeCell ref="F16:F18"/>
    <mergeCell ref="G16:G18"/>
  </mergeCells>
  <printOptions/>
  <pageMargins left="0.7" right="0.7" top="0.39" bottom="0.3" header="0.3" footer="0.3"/>
  <pageSetup fitToHeight="3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59"/>
  <sheetViews>
    <sheetView zoomScale="75" zoomScaleNormal="75" zoomScaleSheetLayoutView="80" zoomScalePageLayoutView="0" workbookViewId="0" topLeftCell="A1">
      <selection activeCell="N28" sqref="N28"/>
    </sheetView>
  </sheetViews>
  <sheetFormatPr defaultColWidth="9.00390625" defaultRowHeight="15.75"/>
  <cols>
    <col min="1" max="1" width="10.00390625" style="1" bestFit="1" customWidth="1"/>
    <col min="2" max="2" width="46.875" style="1" customWidth="1"/>
    <col min="3" max="3" width="9.50390625" style="1" hidden="1" customWidth="1"/>
    <col min="4" max="4" width="9.625" style="1" hidden="1" customWidth="1"/>
    <col min="5" max="5" width="0" style="1" hidden="1" customWidth="1"/>
    <col min="6" max="6" width="13.25390625" style="1" customWidth="1"/>
    <col min="7" max="7" width="14.25390625" style="1" customWidth="1"/>
    <col min="8" max="8" width="9.00390625" style="1" hidden="1" customWidth="1"/>
    <col min="9" max="9" width="13.125" style="1" customWidth="1"/>
    <col min="10" max="10" width="9.625" style="1" customWidth="1"/>
    <col min="11" max="16384" width="9.00390625" style="1" customWidth="1"/>
  </cols>
  <sheetData>
    <row r="1" spans="7:9" ht="15.75">
      <c r="G1" s="600" t="s">
        <v>544</v>
      </c>
      <c r="H1" s="600"/>
      <c r="I1" s="569"/>
    </row>
    <row r="2" spans="7:9" ht="15.75">
      <c r="G2" s="3"/>
      <c r="H2" s="3"/>
      <c r="I2" s="3" t="s">
        <v>7</v>
      </c>
    </row>
    <row r="3" spans="1:9" s="77" customFormat="1" ht="15.75">
      <c r="A3" s="71"/>
      <c r="B3" s="71"/>
      <c r="C3" s="71"/>
      <c r="D3" s="71"/>
      <c r="E3" s="71"/>
      <c r="F3" s="71"/>
      <c r="G3" s="71"/>
      <c r="H3" s="71"/>
      <c r="I3" s="71"/>
    </row>
    <row r="4" spans="1:9" s="77" customFormat="1" ht="15.75">
      <c r="A4" s="603" t="s">
        <v>280</v>
      </c>
      <c r="B4" s="569"/>
      <c r="C4" s="71"/>
      <c r="D4" s="71"/>
      <c r="E4" s="71"/>
      <c r="F4" s="71"/>
      <c r="G4" s="71"/>
      <c r="H4" s="71"/>
      <c r="I4" s="71"/>
    </row>
    <row r="5" spans="1:9" s="77" customFormat="1" ht="15.75">
      <c r="A5" s="159"/>
      <c r="B5" s="130"/>
      <c r="C5" s="71"/>
      <c r="D5" s="71"/>
      <c r="E5" s="71"/>
      <c r="F5" s="71"/>
      <c r="G5" s="71"/>
      <c r="H5" s="71"/>
      <c r="I5" s="71"/>
    </row>
    <row r="6" spans="1:10" s="77" customFormat="1" ht="15.75">
      <c r="A6" s="71"/>
      <c r="B6" s="71"/>
      <c r="C6" s="1"/>
      <c r="D6" s="1"/>
      <c r="E6" s="1"/>
      <c r="F6" s="1"/>
      <c r="G6" s="600" t="s">
        <v>9</v>
      </c>
      <c r="H6" s="600"/>
      <c r="I6" s="569"/>
      <c r="J6" s="83"/>
    </row>
    <row r="7" spans="4:10" ht="15.75">
      <c r="D7" s="600" t="s">
        <v>416</v>
      </c>
      <c r="E7" s="600"/>
      <c r="F7" s="600"/>
      <c r="G7" s="600"/>
      <c r="H7" s="600"/>
      <c r="I7" s="600"/>
      <c r="J7" s="83"/>
    </row>
    <row r="8" spans="5:10" ht="15.75">
      <c r="E8" s="600"/>
      <c r="F8" s="569"/>
      <c r="G8" s="569"/>
      <c r="H8" s="569"/>
      <c r="I8" s="569"/>
      <c r="J8" s="83"/>
    </row>
    <row r="9" spans="3:10" ht="15.75" customHeight="1">
      <c r="C9" s="601" t="s">
        <v>315</v>
      </c>
      <c r="D9" s="601"/>
      <c r="E9" s="601"/>
      <c r="F9" s="601"/>
      <c r="G9" s="601"/>
      <c r="H9" s="601"/>
      <c r="I9" s="839"/>
      <c r="J9" s="33"/>
    </row>
    <row r="10" spans="6:10" ht="15.75">
      <c r="F10" s="600" t="s">
        <v>10</v>
      </c>
      <c r="G10" s="569"/>
      <c r="H10" s="569"/>
      <c r="I10" s="569"/>
      <c r="J10" s="83"/>
    </row>
    <row r="11" spans="8:10" ht="15.75">
      <c r="H11" s="3"/>
      <c r="I11" s="3" t="s">
        <v>11</v>
      </c>
      <c r="J11" s="83"/>
    </row>
    <row r="12" spans="8:10" ht="15.75">
      <c r="H12" s="3"/>
      <c r="I12" s="3"/>
      <c r="J12" s="83"/>
    </row>
    <row r="13" spans="8:10" ht="15.75">
      <c r="H13" s="3"/>
      <c r="I13" s="3"/>
      <c r="J13" s="83"/>
    </row>
    <row r="14" spans="1:9" s="77" customFormat="1" ht="15.75">
      <c r="A14" s="841" t="s">
        <v>545</v>
      </c>
      <c r="B14" s="841"/>
      <c r="C14" s="841"/>
      <c r="D14" s="841"/>
      <c r="E14" s="841"/>
      <c r="F14" s="841"/>
      <c r="G14" s="841"/>
      <c r="H14" s="841"/>
      <c r="I14" s="841"/>
    </row>
    <row r="15" spans="1:9" s="77" customFormat="1" ht="15.75">
      <c r="A15" s="841" t="s">
        <v>529</v>
      </c>
      <c r="B15" s="841"/>
      <c r="C15" s="841"/>
      <c r="D15" s="841"/>
      <c r="E15" s="841"/>
      <c r="F15" s="841"/>
      <c r="G15" s="841"/>
      <c r="H15" s="841"/>
      <c r="I15" s="841"/>
    </row>
    <row r="16" spans="7:10" ht="15.75">
      <c r="G16" s="3"/>
      <c r="H16" s="3"/>
      <c r="J16" s="83"/>
    </row>
    <row r="17" spans="1:9" ht="15.75">
      <c r="A17" s="32"/>
      <c r="G17" s="584" t="s">
        <v>306</v>
      </c>
      <c r="H17" s="584"/>
      <c r="I17" s="584"/>
    </row>
    <row r="18" spans="1:9" ht="48" customHeight="1">
      <c r="A18" s="84" t="s">
        <v>12</v>
      </c>
      <c r="B18" s="84" t="s">
        <v>192</v>
      </c>
      <c r="C18" s="84" t="s">
        <v>375</v>
      </c>
      <c r="D18" s="84" t="s">
        <v>376</v>
      </c>
      <c r="E18" s="84" t="s">
        <v>444</v>
      </c>
      <c r="F18" s="84" t="s">
        <v>510</v>
      </c>
      <c r="G18" s="84" t="s">
        <v>518</v>
      </c>
      <c r="H18" s="84" t="s">
        <v>238</v>
      </c>
      <c r="I18" s="84" t="s">
        <v>18</v>
      </c>
    </row>
    <row r="19" spans="1:11" ht="15.75">
      <c r="A19" s="14">
        <v>1</v>
      </c>
      <c r="B19" s="17" t="s">
        <v>193</v>
      </c>
      <c r="C19" s="161" t="e">
        <f>'приложение 1.1 2016-2017 ген'!S23</f>
        <v>#REF!</v>
      </c>
      <c r="D19" s="161" t="e">
        <f>'приложение 1.1 2016-2017 ген'!T23</f>
        <v>#REF!</v>
      </c>
      <c r="E19" s="161" t="e">
        <f>'приложение 1.1 2016-2017 ген'!U23</f>
        <v>#REF!</v>
      </c>
      <c r="F19" s="161">
        <v>0</v>
      </c>
      <c r="G19" s="161">
        <f>'приложение 1.1 2016-2017 ген'!W23</f>
        <v>2400</v>
      </c>
      <c r="H19" s="161">
        <f>'приложение 1.1 2016-2017 ген'!X23</f>
        <v>0</v>
      </c>
      <c r="I19" s="233">
        <f>F19+G19</f>
        <v>2400</v>
      </c>
      <c r="J19" s="111"/>
      <c r="K19" s="111"/>
    </row>
    <row r="20" spans="1:17" ht="15.75">
      <c r="A20" s="93" t="s">
        <v>22</v>
      </c>
      <c r="B20" s="41" t="s">
        <v>335</v>
      </c>
      <c r="C20" s="233" t="e">
        <f aca="true" t="shared" si="0" ref="C20:H20">C21</f>
        <v>#REF!</v>
      </c>
      <c r="D20" s="233" t="e">
        <f t="shared" si="0"/>
        <v>#REF!</v>
      </c>
      <c r="E20" s="233" t="e">
        <f t="shared" si="0"/>
        <v>#REF!</v>
      </c>
      <c r="F20" s="233">
        <f t="shared" si="0"/>
        <v>0</v>
      </c>
      <c r="G20" s="233">
        <f t="shared" si="0"/>
        <v>0</v>
      </c>
      <c r="H20" s="233">
        <f t="shared" si="0"/>
        <v>0</v>
      </c>
      <c r="I20" s="233">
        <f>F20+G20</f>
        <v>0</v>
      </c>
      <c r="J20" s="269"/>
      <c r="K20" s="111"/>
      <c r="L20" s="111"/>
      <c r="M20" s="111"/>
      <c r="N20" s="111"/>
      <c r="O20" s="111"/>
      <c r="Q20" s="111"/>
    </row>
    <row r="21" spans="1:9" ht="15.75">
      <c r="A21" s="93" t="s">
        <v>194</v>
      </c>
      <c r="B21" s="17" t="s">
        <v>195</v>
      </c>
      <c r="C21" s="233" t="e">
        <f aca="true" t="shared" si="1" ref="C21:H21">C19-C27</f>
        <v>#REF!</v>
      </c>
      <c r="D21" s="233" t="e">
        <f>D19-D27</f>
        <v>#REF!</v>
      </c>
      <c r="E21" s="233" t="e">
        <f t="shared" si="1"/>
        <v>#REF!</v>
      </c>
      <c r="F21" s="233">
        <v>0</v>
      </c>
      <c r="G21" s="233">
        <v>0</v>
      </c>
      <c r="H21" s="233">
        <f t="shared" si="1"/>
        <v>0</v>
      </c>
      <c r="I21" s="233">
        <f>F21+G21</f>
        <v>0</v>
      </c>
    </row>
    <row r="22" spans="1:9" ht="15.75">
      <c r="A22" s="93" t="s">
        <v>196</v>
      </c>
      <c r="B22" s="17" t="s">
        <v>197</v>
      </c>
      <c r="C22" s="212"/>
      <c r="D22" s="212"/>
      <c r="E22" s="212"/>
      <c r="F22" s="212"/>
      <c r="G22" s="212"/>
      <c r="H22" s="212"/>
      <c r="I22" s="233"/>
    </row>
    <row r="23" spans="1:9" ht="31.5">
      <c r="A23" s="93" t="s">
        <v>198</v>
      </c>
      <c r="B23" s="17" t="s">
        <v>199</v>
      </c>
      <c r="C23" s="212"/>
      <c r="D23" s="212"/>
      <c r="E23" s="212"/>
      <c r="F23" s="212"/>
      <c r="G23" s="212"/>
      <c r="H23" s="212"/>
      <c r="I23" s="233"/>
    </row>
    <row r="24" spans="1:9" ht="21" customHeight="1">
      <c r="A24" s="93" t="s">
        <v>200</v>
      </c>
      <c r="B24" s="17" t="s">
        <v>201</v>
      </c>
      <c r="C24" s="212"/>
      <c r="D24" s="212"/>
      <c r="E24" s="212"/>
      <c r="F24" s="212"/>
      <c r="G24" s="212"/>
      <c r="H24" s="212"/>
      <c r="I24" s="233"/>
    </row>
    <row r="25" spans="1:9" ht="31.5">
      <c r="A25" s="93" t="s">
        <v>202</v>
      </c>
      <c r="B25" s="17" t="s">
        <v>203</v>
      </c>
      <c r="C25" s="212"/>
      <c r="D25" s="212"/>
      <c r="E25" s="212"/>
      <c r="F25" s="212"/>
      <c r="G25" s="212"/>
      <c r="H25" s="212"/>
      <c r="I25" s="233"/>
    </row>
    <row r="26" spans="1:9" ht="15.75">
      <c r="A26" s="93" t="s">
        <v>204</v>
      </c>
      <c r="B26" s="17" t="s">
        <v>291</v>
      </c>
      <c r="C26" s="186"/>
      <c r="D26" s="186"/>
      <c r="E26" s="186"/>
      <c r="F26" s="186"/>
      <c r="G26" s="186"/>
      <c r="H26" s="186"/>
      <c r="I26" s="233"/>
    </row>
    <row r="27" spans="1:11" ht="15.75">
      <c r="A27" s="93" t="s">
        <v>24</v>
      </c>
      <c r="B27" s="17" t="s">
        <v>332</v>
      </c>
      <c r="C27" s="186">
        <f aca="true" t="shared" si="2" ref="C27:H27">C28+C29</f>
        <v>1423</v>
      </c>
      <c r="D27" s="186">
        <f t="shared" si="2"/>
        <v>1695</v>
      </c>
      <c r="E27" s="186">
        <f t="shared" si="2"/>
        <v>1309</v>
      </c>
      <c r="F27" s="186">
        <f t="shared" si="2"/>
        <v>1136.84913</v>
      </c>
      <c r="G27" s="186">
        <v>2400</v>
      </c>
      <c r="H27" s="186">
        <f t="shared" si="2"/>
        <v>0</v>
      </c>
      <c r="I27" s="233">
        <f>F27+G27</f>
        <v>3536.84913</v>
      </c>
      <c r="J27" s="111"/>
      <c r="K27" s="111"/>
    </row>
    <row r="28" spans="1:10" ht="15.75">
      <c r="A28" s="93" t="s">
        <v>205</v>
      </c>
      <c r="B28" s="17" t="s">
        <v>290</v>
      </c>
      <c r="C28" s="186">
        <f>'приложение 3.2 2016-2017 ген'!I26</f>
        <v>0</v>
      </c>
      <c r="D28" s="186">
        <f>'приложение 3.2 2016-2017 ген'!J26</f>
        <v>126.5</v>
      </c>
      <c r="E28" s="186">
        <f>'приложение 3.2 2016-2017 ген'!K26</f>
        <v>0</v>
      </c>
      <c r="F28" s="186">
        <f>'приложение 3.2 2016-2017 ген'!L26*1.18</f>
        <v>101.68317239999999</v>
      </c>
      <c r="G28" s="531" t="s">
        <v>511</v>
      </c>
      <c r="H28" s="186">
        <v>0</v>
      </c>
      <c r="I28" s="233"/>
      <c r="J28" s="111"/>
    </row>
    <row r="29" spans="1:10" ht="15.75">
      <c r="A29" s="93" t="s">
        <v>207</v>
      </c>
      <c r="B29" s="17" t="s">
        <v>206</v>
      </c>
      <c r="C29" s="186">
        <v>1423</v>
      </c>
      <c r="D29" s="186">
        <v>1568.5</v>
      </c>
      <c r="E29" s="186">
        <v>1309</v>
      </c>
      <c r="F29" s="186">
        <f>1136.84913-F28</f>
        <v>1035.1659576000002</v>
      </c>
      <c r="G29" s="531" t="s">
        <v>511</v>
      </c>
      <c r="H29" s="186">
        <v>0</v>
      </c>
      <c r="I29" s="233"/>
      <c r="J29" s="111"/>
    </row>
    <row r="30" spans="1:9" ht="15.75">
      <c r="A30" s="93" t="s">
        <v>208</v>
      </c>
      <c r="B30" s="17" t="s">
        <v>209</v>
      </c>
      <c r="C30" s="186"/>
      <c r="D30" s="186"/>
      <c r="E30" s="186"/>
      <c r="F30" s="186"/>
      <c r="G30" s="186"/>
      <c r="H30" s="186"/>
      <c r="I30" s="186"/>
    </row>
    <row r="31" spans="1:9" ht="15.75">
      <c r="A31" s="93" t="s">
        <v>25</v>
      </c>
      <c r="B31" s="17" t="s">
        <v>210</v>
      </c>
      <c r="C31" s="186"/>
      <c r="D31" s="186"/>
      <c r="E31" s="186"/>
      <c r="F31" s="186"/>
      <c r="G31" s="186"/>
      <c r="H31" s="186"/>
      <c r="I31" s="186"/>
    </row>
    <row r="32" spans="1:9" ht="15.75">
      <c r="A32" s="93" t="s">
        <v>27</v>
      </c>
      <c r="B32" s="17" t="s">
        <v>211</v>
      </c>
      <c r="C32" s="186"/>
      <c r="D32" s="186"/>
      <c r="E32" s="186"/>
      <c r="F32" s="186"/>
      <c r="G32" s="186"/>
      <c r="H32" s="186"/>
      <c r="I32" s="186"/>
    </row>
    <row r="33" spans="1:9" ht="15.75">
      <c r="A33" s="93" t="s">
        <v>212</v>
      </c>
      <c r="B33" s="17" t="s">
        <v>213</v>
      </c>
      <c r="C33" s="186"/>
      <c r="D33" s="186"/>
      <c r="E33" s="186"/>
      <c r="F33" s="186"/>
      <c r="G33" s="186"/>
      <c r="H33" s="186"/>
      <c r="I33" s="186"/>
    </row>
    <row r="34" spans="1:9" ht="15.75">
      <c r="A34" s="93" t="s">
        <v>117</v>
      </c>
      <c r="B34" s="17" t="s">
        <v>214</v>
      </c>
      <c r="C34" s="186"/>
      <c r="D34" s="186"/>
      <c r="E34" s="186"/>
      <c r="F34" s="186"/>
      <c r="G34" s="186"/>
      <c r="H34" s="186"/>
      <c r="I34" s="186"/>
    </row>
    <row r="35" spans="1:10" ht="15.75">
      <c r="A35" s="93" t="s">
        <v>29</v>
      </c>
      <c r="B35" s="41" t="s">
        <v>334</v>
      </c>
      <c r="C35" s="186">
        <f>C36+C39+C40+C41+C42</f>
        <v>0</v>
      </c>
      <c r="D35" s="186">
        <f>D36+D39+D40+D41+D42</f>
        <v>0</v>
      </c>
      <c r="E35" s="186">
        <v>0</v>
      </c>
      <c r="F35" s="186"/>
      <c r="G35" s="186"/>
      <c r="H35" s="535"/>
      <c r="I35" s="186"/>
      <c r="J35" s="178"/>
    </row>
    <row r="36" spans="1:11" ht="15.75">
      <c r="A36" s="93" t="s">
        <v>31</v>
      </c>
      <c r="B36" s="17" t="s">
        <v>241</v>
      </c>
      <c r="C36" s="186">
        <f>C37+C38</f>
        <v>0</v>
      </c>
      <c r="D36" s="186">
        <f>D37+D38</f>
        <v>0</v>
      </c>
      <c r="E36" s="186">
        <v>0</v>
      </c>
      <c r="F36" s="186"/>
      <c r="G36" s="186"/>
      <c r="H36" s="535"/>
      <c r="I36" s="186"/>
      <c r="J36" s="111"/>
      <c r="K36" s="111"/>
    </row>
    <row r="37" spans="1:10" ht="15.75">
      <c r="A37" s="133" t="s">
        <v>239</v>
      </c>
      <c r="B37" s="17" t="s">
        <v>242</v>
      </c>
      <c r="C37" s="186">
        <f>C38/0.28</f>
        <v>0</v>
      </c>
      <c r="D37" s="186">
        <f>D38/0.28</f>
        <v>0</v>
      </c>
      <c r="E37" s="186">
        <v>0</v>
      </c>
      <c r="F37" s="186"/>
      <c r="G37" s="186"/>
      <c r="H37" s="535"/>
      <c r="I37" s="186"/>
      <c r="J37" s="109"/>
    </row>
    <row r="38" spans="1:10" ht="15.75">
      <c r="A38" s="122" t="s">
        <v>240</v>
      </c>
      <c r="B38" s="17" t="s">
        <v>243</v>
      </c>
      <c r="C38" s="186">
        <f>'[3]Sheet1'!$L$45</f>
        <v>0</v>
      </c>
      <c r="D38" s="186">
        <f>'[3]Sheet1'!$L$70</f>
        <v>0</v>
      </c>
      <c r="E38" s="186">
        <v>0</v>
      </c>
      <c r="F38" s="186"/>
      <c r="G38" s="186"/>
      <c r="H38" s="535"/>
      <c r="I38" s="186"/>
      <c r="J38" s="109"/>
    </row>
    <row r="39" spans="1:9" ht="15.75">
      <c r="A39" s="122" t="s">
        <v>32</v>
      </c>
      <c r="B39" s="17" t="s">
        <v>215</v>
      </c>
      <c r="C39" s="212"/>
      <c r="D39" s="212"/>
      <c r="E39" s="212"/>
      <c r="F39" s="212"/>
      <c r="G39" s="212"/>
      <c r="H39" s="212"/>
      <c r="I39" s="186"/>
    </row>
    <row r="40" spans="1:9" ht="15.75">
      <c r="A40" s="93" t="s">
        <v>327</v>
      </c>
      <c r="B40" s="17" t="s">
        <v>216</v>
      </c>
      <c r="C40" s="212"/>
      <c r="D40" s="212"/>
      <c r="E40" s="212"/>
      <c r="F40" s="212"/>
      <c r="G40" s="212"/>
      <c r="H40" s="212"/>
      <c r="I40" s="186"/>
    </row>
    <row r="41" spans="1:9" ht="15.75">
      <c r="A41" s="93" t="s">
        <v>109</v>
      </c>
      <c r="B41" s="17" t="s">
        <v>217</v>
      </c>
      <c r="C41" s="212"/>
      <c r="D41" s="212"/>
      <c r="E41" s="212"/>
      <c r="F41" s="212"/>
      <c r="G41" s="212"/>
      <c r="H41" s="212"/>
      <c r="I41" s="186"/>
    </row>
    <row r="42" spans="1:9" ht="15.75">
      <c r="A42" s="93" t="s">
        <v>110</v>
      </c>
      <c r="B42" s="17" t="s">
        <v>218</v>
      </c>
      <c r="C42" s="212"/>
      <c r="D42" s="212"/>
      <c r="E42" s="212"/>
      <c r="F42" s="212"/>
      <c r="G42" s="212"/>
      <c r="H42" s="212"/>
      <c r="I42" s="186"/>
    </row>
    <row r="43" spans="1:10" ht="15.75">
      <c r="A43" s="123"/>
      <c r="B43" s="41" t="s">
        <v>219</v>
      </c>
      <c r="C43" s="186" t="e">
        <f aca="true" t="shared" si="3" ref="C43:I43">C19+C38</f>
        <v>#REF!</v>
      </c>
      <c r="D43" s="186" t="e">
        <f t="shared" si="3"/>
        <v>#REF!</v>
      </c>
      <c r="E43" s="186" t="e">
        <f t="shared" si="3"/>
        <v>#REF!</v>
      </c>
      <c r="F43" s="186">
        <f t="shared" si="3"/>
        <v>0</v>
      </c>
      <c r="G43" s="186">
        <f t="shared" si="3"/>
        <v>2400</v>
      </c>
      <c r="H43" s="186">
        <f t="shared" si="3"/>
        <v>0</v>
      </c>
      <c r="I43" s="186">
        <f t="shared" si="3"/>
        <v>2400</v>
      </c>
      <c r="J43" s="109"/>
    </row>
    <row r="44" spans="1:9" ht="16.5" customHeight="1">
      <c r="A44" s="124"/>
      <c r="B44" s="17"/>
      <c r="C44" s="78"/>
      <c r="D44" s="78"/>
      <c r="E44" s="78"/>
      <c r="F44" s="78"/>
      <c r="G44" s="78"/>
      <c r="H44" s="78"/>
      <c r="I44" s="186"/>
    </row>
    <row r="45" spans="1:9" ht="16.5" customHeight="1">
      <c r="A45" s="124"/>
      <c r="B45" s="79"/>
      <c r="C45" s="78"/>
      <c r="D45" s="78"/>
      <c r="E45" s="78"/>
      <c r="F45" s="78"/>
      <c r="G45" s="78"/>
      <c r="H45" s="78"/>
      <c r="I45" s="186"/>
    </row>
    <row r="46" spans="1:9" ht="16.5" customHeight="1">
      <c r="A46" s="124"/>
      <c r="B46" s="79"/>
      <c r="C46" s="78"/>
      <c r="D46" s="78"/>
      <c r="E46" s="78"/>
      <c r="F46" s="78"/>
      <c r="G46" s="78"/>
      <c r="H46" s="78"/>
      <c r="I46" s="186"/>
    </row>
    <row r="47" spans="1:9" ht="15.75">
      <c r="A47" s="26"/>
      <c r="B47" s="80"/>
      <c r="C47" s="26"/>
      <c r="D47" s="26"/>
      <c r="E47" s="26"/>
      <c r="F47" s="26"/>
      <c r="G47" s="26"/>
      <c r="H47" s="26"/>
      <c r="I47" s="26"/>
    </row>
    <row r="48" spans="1:9" ht="15.75">
      <c r="A48" s="550" t="s">
        <v>512</v>
      </c>
      <c r="B48" s="840" t="s">
        <v>513</v>
      </c>
      <c r="C48" s="840"/>
      <c r="D48" s="840"/>
      <c r="E48" s="840"/>
      <c r="F48" s="840"/>
      <c r="G48" s="840"/>
      <c r="H48" s="840"/>
      <c r="I48" s="840"/>
    </row>
    <row r="49" spans="1:9" ht="15.75">
      <c r="A49" s="26"/>
      <c r="B49" s="80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80"/>
      <c r="C50" s="26"/>
      <c r="D50" s="26"/>
      <c r="E50" s="26"/>
      <c r="F50" s="26"/>
      <c r="G50" s="26"/>
      <c r="H50" s="26"/>
      <c r="I50" s="26"/>
    </row>
    <row r="52" spans="1:2" ht="15.75">
      <c r="A52" s="27"/>
      <c r="B52" s="25"/>
    </row>
    <row r="53" spans="1:9" ht="40.5" customHeight="1">
      <c r="A53" s="585" t="s">
        <v>230</v>
      </c>
      <c r="B53" s="585"/>
      <c r="C53" s="532"/>
      <c r="D53" s="533"/>
      <c r="E53" s="533"/>
      <c r="F53" s="534"/>
      <c r="H53" s="83"/>
      <c r="I53" s="534" t="s">
        <v>231</v>
      </c>
    </row>
    <row r="54" ht="15.75">
      <c r="A54" s="27"/>
    </row>
    <row r="55" spans="1:9" ht="15.75">
      <c r="A55" s="24"/>
      <c r="B55" s="24"/>
      <c r="C55" s="24"/>
      <c r="D55" s="24"/>
      <c r="E55" s="24"/>
      <c r="F55" s="24"/>
      <c r="G55" s="24"/>
      <c r="H55" s="24"/>
      <c r="I55" s="24"/>
    </row>
    <row r="56" ht="15.75">
      <c r="A56" s="27"/>
    </row>
    <row r="57" spans="1:9" ht="15.75">
      <c r="A57" s="28"/>
      <c r="C57" s="51"/>
      <c r="D57" s="51"/>
      <c r="E57" s="51"/>
      <c r="F57" s="51"/>
      <c r="G57" s="51"/>
      <c r="H57" s="51"/>
      <c r="I57" s="50"/>
    </row>
    <row r="58" spans="3:8" ht="15.75">
      <c r="C58" s="30"/>
      <c r="D58" s="30"/>
      <c r="E58" s="30"/>
      <c r="F58" s="30"/>
      <c r="G58" s="30"/>
      <c r="H58" s="30"/>
    </row>
    <row r="59" spans="1:8" ht="15.75">
      <c r="A59" s="2"/>
      <c r="C59" s="32"/>
      <c r="D59" s="32"/>
      <c r="E59" s="32"/>
      <c r="F59" s="32"/>
      <c r="G59" s="32"/>
      <c r="H59" s="32"/>
    </row>
  </sheetData>
  <sheetProtection/>
  <mergeCells count="12">
    <mergeCell ref="A53:B53"/>
    <mergeCell ref="F10:I10"/>
    <mergeCell ref="A4:B4"/>
    <mergeCell ref="G17:I17"/>
    <mergeCell ref="A14:I14"/>
    <mergeCell ref="A15:I15"/>
    <mergeCell ref="G1:I1"/>
    <mergeCell ref="G6:I6"/>
    <mergeCell ref="E8:I8"/>
    <mergeCell ref="C9:I9"/>
    <mergeCell ref="D7:I7"/>
    <mergeCell ref="B48:I48"/>
  </mergeCells>
  <printOptions/>
  <pageMargins left="0.7480314960629921" right="0.7480314960629921" top="0.2755905511811024" bottom="0.1968503937007874" header="0.2362204724409449" footer="0.1968503937007874"/>
  <pageSetup fitToHeight="0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P56"/>
  <sheetViews>
    <sheetView zoomScale="75" zoomScaleNormal="75" zoomScaleSheetLayoutView="80" zoomScalePageLayoutView="0" workbookViewId="0" topLeftCell="A1">
      <selection activeCell="I2" sqref="I2"/>
    </sheetView>
  </sheetViews>
  <sheetFormatPr defaultColWidth="9.00390625" defaultRowHeight="15.75"/>
  <cols>
    <col min="1" max="1" width="7.75390625" style="1" customWidth="1"/>
    <col min="2" max="2" width="53.875" style="1" customWidth="1"/>
    <col min="3" max="3" width="9.50390625" style="1" hidden="1" customWidth="1"/>
    <col min="4" max="4" width="6.375" style="1" hidden="1" customWidth="1"/>
    <col min="5" max="5" width="0" style="1" hidden="1" customWidth="1"/>
    <col min="6" max="7" width="13.375" style="1" customWidth="1"/>
    <col min="8" max="8" width="9.00390625" style="1" hidden="1" customWidth="1"/>
    <col min="9" max="9" width="13.375" style="1" customWidth="1"/>
    <col min="10" max="10" width="9.625" style="1" customWidth="1"/>
    <col min="11" max="16384" width="9.00390625" style="1" customWidth="1"/>
  </cols>
  <sheetData>
    <row r="1" ht="15.75">
      <c r="I1" s="3" t="s">
        <v>546</v>
      </c>
    </row>
    <row r="2" ht="15.75">
      <c r="I2" s="3" t="s">
        <v>7</v>
      </c>
    </row>
    <row r="3" spans="1:9" s="77" customFormat="1" ht="18.75">
      <c r="A3" s="219"/>
      <c r="B3" s="219"/>
      <c r="C3" s="219"/>
      <c r="D3" s="219"/>
      <c r="E3" s="219"/>
      <c r="F3" s="219"/>
      <c r="G3" s="219"/>
      <c r="H3" s="219"/>
      <c r="I3" s="219"/>
    </row>
    <row r="4" spans="1:9" s="77" customFormat="1" ht="18.75">
      <c r="A4" s="603" t="s">
        <v>276</v>
      </c>
      <c r="B4" s="569"/>
      <c r="C4" s="219"/>
      <c r="D4" s="219"/>
      <c r="E4" s="219"/>
      <c r="F4" s="219"/>
      <c r="G4" s="219"/>
      <c r="H4" s="219"/>
      <c r="I4" s="219"/>
    </row>
    <row r="5" spans="1:9" s="77" customFormat="1" ht="18.75">
      <c r="A5" s="219"/>
      <c r="B5" s="219"/>
      <c r="C5" s="219"/>
      <c r="D5" s="219"/>
      <c r="E5" s="219"/>
      <c r="F5" s="219"/>
      <c r="G5" s="219"/>
      <c r="H5" s="219"/>
      <c r="I5" s="219"/>
    </row>
    <row r="6" spans="1:10" s="77" customFormat="1" ht="15.75">
      <c r="A6" s="71"/>
      <c r="B6" s="71"/>
      <c r="C6" s="1"/>
      <c r="D6" s="1"/>
      <c r="E6" s="1"/>
      <c r="F6" s="1"/>
      <c r="G6" s="1"/>
      <c r="H6" s="1"/>
      <c r="I6" s="3" t="s">
        <v>9</v>
      </c>
      <c r="J6" s="83"/>
    </row>
    <row r="7" spans="9:10" ht="15.75">
      <c r="I7" s="3" t="s">
        <v>416</v>
      </c>
      <c r="J7" s="83"/>
    </row>
    <row r="8" spans="9:10" ht="15.75">
      <c r="I8" s="3"/>
      <c r="J8" s="83"/>
    </row>
    <row r="9" spans="3:10" ht="15.75" customHeight="1">
      <c r="C9" s="33"/>
      <c r="D9" s="33"/>
      <c r="E9" s="601" t="s">
        <v>315</v>
      </c>
      <c r="F9" s="601"/>
      <c r="G9" s="601"/>
      <c r="H9" s="601"/>
      <c r="I9" s="601"/>
      <c r="J9" s="33"/>
    </row>
    <row r="10" spans="9:10" ht="15.75">
      <c r="I10" s="3" t="s">
        <v>10</v>
      </c>
      <c r="J10" s="83"/>
    </row>
    <row r="11" spans="9:10" ht="15.75">
      <c r="I11" s="3" t="s">
        <v>11</v>
      </c>
      <c r="J11" s="83"/>
    </row>
    <row r="12" spans="9:10" ht="15.75">
      <c r="I12" s="3"/>
      <c r="J12" s="83"/>
    </row>
    <row r="13" spans="1:10" ht="15.75">
      <c r="A13" s="583" t="str">
        <f>'приложение 4.2 2016-2017 ген'!A14:I14</f>
        <v>Источники финансирования инвестиционной программы, тыс. рублей</v>
      </c>
      <c r="B13" s="583"/>
      <c r="C13" s="583"/>
      <c r="D13" s="583"/>
      <c r="E13" s="583"/>
      <c r="F13" s="583"/>
      <c r="G13" s="583"/>
      <c r="H13" s="583"/>
      <c r="I13" s="583"/>
      <c r="J13" s="83"/>
    </row>
    <row r="14" spans="1:10" ht="15.75">
      <c r="A14" s="583" t="str">
        <f>'приложение 4.2 2016-2017 ген'!A15:I15</f>
        <v>на 2016-2017 годы</v>
      </c>
      <c r="B14" s="583"/>
      <c r="C14" s="583"/>
      <c r="D14" s="583"/>
      <c r="E14" s="583"/>
      <c r="F14" s="583"/>
      <c r="G14" s="583"/>
      <c r="H14" s="583"/>
      <c r="I14" s="583"/>
      <c r="J14" s="83"/>
    </row>
    <row r="15" spans="9:10" ht="15.75">
      <c r="I15" s="3"/>
      <c r="J15" s="83"/>
    </row>
    <row r="16" spans="1:9" ht="15.75">
      <c r="A16" s="32"/>
      <c r="G16" s="584" t="s">
        <v>306</v>
      </c>
      <c r="H16" s="584"/>
      <c r="I16" s="584"/>
    </row>
    <row r="17" spans="1:9" ht="48" customHeight="1">
      <c r="A17" s="84" t="s">
        <v>12</v>
      </c>
      <c r="B17" s="84" t="s">
        <v>192</v>
      </c>
      <c r="C17" s="84" t="str">
        <f>'приложение 4.2 2016-2017 ген'!C18</f>
        <v>Факт 2013 года </v>
      </c>
      <c r="D17" s="84" t="str">
        <f>'приложение 4.2 2016-2017 ген'!D18</f>
        <v>Факт 2014 года </v>
      </c>
      <c r="E17" s="84" t="str">
        <f>'приложение 4.2 2016-2017 ген'!E18</f>
        <v>Факт 2015 года </v>
      </c>
      <c r="F17" s="84" t="str">
        <f>'приложение 4.2 2016-2017 ген'!F18</f>
        <v>Факт 2016 года </v>
      </c>
      <c r="G17" s="84" t="str">
        <f>'приложение 4.2 2016-2017 ген'!G18</f>
        <v>План 2017 года (утверждено РСТ)</v>
      </c>
      <c r="H17" s="84" t="str">
        <f>'приложение 4.2 2016-2017 ген'!H18</f>
        <v>План 2018 года </v>
      </c>
      <c r="I17" s="84" t="s">
        <v>18</v>
      </c>
    </row>
    <row r="18" spans="1:10" ht="15.75">
      <c r="A18" s="14">
        <v>1</v>
      </c>
      <c r="B18" s="17" t="s">
        <v>193</v>
      </c>
      <c r="C18" s="161">
        <f>'приложение 1.1 2016-2017 тр'!S20</f>
        <v>0</v>
      </c>
      <c r="D18" s="161">
        <f>'приложение 1.1 2016-2017 тр'!T20</f>
        <v>0</v>
      </c>
      <c r="E18" s="161">
        <f>'приложение 1.1 2016-2017 тр'!U20</f>
        <v>0</v>
      </c>
      <c r="F18" s="161">
        <f>'приложение 1.1 2016-2017 тр'!V20</f>
        <v>30924.00354</v>
      </c>
      <c r="G18" s="161">
        <f>G19+G26</f>
        <v>12174</v>
      </c>
      <c r="H18" s="161"/>
      <c r="I18" s="233">
        <f>F18+G18</f>
        <v>43098.003540000005</v>
      </c>
      <c r="J18" s="111"/>
    </row>
    <row r="19" spans="1:16" ht="15.75">
      <c r="A19" s="93" t="s">
        <v>22</v>
      </c>
      <c r="B19" s="41" t="s">
        <v>335</v>
      </c>
      <c r="C19" s="233">
        <f>C20</f>
        <v>-2197</v>
      </c>
      <c r="D19" s="233">
        <f>D20</f>
        <v>-4507.5</v>
      </c>
      <c r="E19" s="233"/>
      <c r="F19" s="233">
        <f>F20</f>
        <v>24094.964020000003</v>
      </c>
      <c r="G19" s="233">
        <f>G20</f>
        <v>0</v>
      </c>
      <c r="H19" s="233"/>
      <c r="I19" s="233">
        <f>F19+G19</f>
        <v>24094.964020000003</v>
      </c>
      <c r="J19" s="111"/>
      <c r="K19" s="111"/>
      <c r="L19" s="111"/>
      <c r="M19" s="111"/>
      <c r="N19" s="111"/>
      <c r="O19" s="111"/>
      <c r="P19" s="111"/>
    </row>
    <row r="20" spans="1:9" ht="15.75">
      <c r="A20" s="93" t="s">
        <v>194</v>
      </c>
      <c r="B20" s="17" t="s">
        <v>195</v>
      </c>
      <c r="C20" s="233">
        <f>C18-C26</f>
        <v>-2197</v>
      </c>
      <c r="D20" s="233">
        <f>D18-D26</f>
        <v>-4507.5</v>
      </c>
      <c r="E20" s="233"/>
      <c r="F20" s="233">
        <f>F18-F26-1136.84913</f>
        <v>24094.964020000003</v>
      </c>
      <c r="G20" s="233">
        <v>0</v>
      </c>
      <c r="H20" s="233"/>
      <c r="I20" s="233">
        <f>F20+G20</f>
        <v>24094.964020000003</v>
      </c>
    </row>
    <row r="21" spans="1:9" ht="15.75">
      <c r="A21" s="93" t="s">
        <v>196</v>
      </c>
      <c r="B21" s="17" t="s">
        <v>197</v>
      </c>
      <c r="C21" s="212"/>
      <c r="D21" s="212"/>
      <c r="E21" s="212"/>
      <c r="F21" s="212"/>
      <c r="G21" s="212"/>
      <c r="H21" s="212"/>
      <c r="I21" s="233"/>
    </row>
    <row r="22" spans="1:9" ht="31.5">
      <c r="A22" s="93" t="s">
        <v>198</v>
      </c>
      <c r="B22" s="17" t="s">
        <v>199</v>
      </c>
      <c r="C22" s="212"/>
      <c r="D22" s="212"/>
      <c r="E22" s="212"/>
      <c r="F22" s="212"/>
      <c r="G22" s="212"/>
      <c r="H22" s="212"/>
      <c r="I22" s="233"/>
    </row>
    <row r="23" spans="1:9" ht="15.75">
      <c r="A23" s="93" t="s">
        <v>200</v>
      </c>
      <c r="B23" s="17" t="s">
        <v>201</v>
      </c>
      <c r="C23" s="212"/>
      <c r="D23" s="212"/>
      <c r="E23" s="212"/>
      <c r="F23" s="212"/>
      <c r="G23" s="212"/>
      <c r="H23" s="212"/>
      <c r="I23" s="233"/>
    </row>
    <row r="24" spans="1:9" ht="15.75">
      <c r="A24" s="93" t="s">
        <v>202</v>
      </c>
      <c r="B24" s="17" t="s">
        <v>203</v>
      </c>
      <c r="C24" s="212"/>
      <c r="D24" s="212"/>
      <c r="E24" s="212"/>
      <c r="F24" s="212"/>
      <c r="G24" s="212"/>
      <c r="H24" s="212"/>
      <c r="I24" s="233"/>
    </row>
    <row r="25" spans="1:9" ht="15.75">
      <c r="A25" s="93" t="s">
        <v>204</v>
      </c>
      <c r="B25" s="17" t="s">
        <v>291</v>
      </c>
      <c r="C25" s="186"/>
      <c r="D25" s="186"/>
      <c r="E25" s="186"/>
      <c r="F25" s="186"/>
      <c r="G25" s="186"/>
      <c r="H25" s="186"/>
      <c r="I25" s="233"/>
    </row>
    <row r="26" spans="1:10" ht="15.75">
      <c r="A26" s="93" t="s">
        <v>24</v>
      </c>
      <c r="B26" s="17" t="s">
        <v>301</v>
      </c>
      <c r="C26" s="186">
        <f>C27+C28</f>
        <v>2197</v>
      </c>
      <c r="D26" s="186">
        <f>D27+D28</f>
        <v>4507.5</v>
      </c>
      <c r="E26" s="186"/>
      <c r="F26" s="186">
        <f>F27+F28</f>
        <v>5692.190390000001</v>
      </c>
      <c r="G26" s="186">
        <f>'приложение 1.1 2016-2017 тр'!W20</f>
        <v>12174</v>
      </c>
      <c r="H26" s="186"/>
      <c r="I26" s="233">
        <f>F26+G26</f>
        <v>17866.19039</v>
      </c>
      <c r="J26" s="111"/>
    </row>
    <row r="27" spans="1:10" ht="15.75">
      <c r="A27" s="93" t="s">
        <v>205</v>
      </c>
      <c r="B27" s="17" t="s">
        <v>290</v>
      </c>
      <c r="C27" s="186">
        <f>'приложение 3.2 2016-2017 тр'!K39</f>
        <v>0</v>
      </c>
      <c r="D27" s="186">
        <f>'приложение 3.2 2016-2017 тр'!L39</f>
        <v>8.5</v>
      </c>
      <c r="E27" s="186"/>
      <c r="F27" s="186">
        <f>'приложение 3.2 2016-2017 тр'!N39*1.18</f>
        <v>2806.6466761333336</v>
      </c>
      <c r="G27" s="186" t="str">
        <f>'приложение 4.2 2016-2017 ген'!G28</f>
        <v>0 *</v>
      </c>
      <c r="H27" s="186"/>
      <c r="I27" s="233"/>
      <c r="J27" s="111"/>
    </row>
    <row r="28" spans="1:10" ht="15.75">
      <c r="A28" s="93" t="s">
        <v>207</v>
      </c>
      <c r="B28" s="17" t="s">
        <v>206</v>
      </c>
      <c r="C28" s="186">
        <v>2197</v>
      </c>
      <c r="D28" s="186">
        <v>4499</v>
      </c>
      <c r="E28" s="186"/>
      <c r="F28" s="186">
        <f>5621.08301+71.10738-F27</f>
        <v>2885.543713866667</v>
      </c>
      <c r="G28" s="186" t="str">
        <f>'приложение 4.2 2016-2017 ген'!G29</f>
        <v>0 *</v>
      </c>
      <c r="H28" s="186"/>
      <c r="I28" s="233"/>
      <c r="J28" s="111"/>
    </row>
    <row r="29" spans="1:9" ht="15.75">
      <c r="A29" s="93" t="s">
        <v>208</v>
      </c>
      <c r="B29" s="17" t="s">
        <v>209</v>
      </c>
      <c r="C29" s="212"/>
      <c r="D29" s="212"/>
      <c r="E29" s="212"/>
      <c r="F29" s="212"/>
      <c r="G29" s="212"/>
      <c r="H29" s="212"/>
      <c r="I29" s="233"/>
    </row>
    <row r="30" spans="1:9" ht="15.75">
      <c r="A30" s="93" t="s">
        <v>25</v>
      </c>
      <c r="B30" s="17" t="s">
        <v>210</v>
      </c>
      <c r="C30" s="212"/>
      <c r="D30" s="212"/>
      <c r="E30" s="212"/>
      <c r="F30" s="212"/>
      <c r="G30" s="212"/>
      <c r="H30" s="212"/>
      <c r="I30" s="233"/>
    </row>
    <row r="31" spans="1:9" ht="15.75">
      <c r="A31" s="93" t="s">
        <v>27</v>
      </c>
      <c r="B31" s="17" t="s">
        <v>211</v>
      </c>
      <c r="C31" s="212"/>
      <c r="D31" s="212"/>
      <c r="E31" s="212"/>
      <c r="F31" s="212"/>
      <c r="G31" s="212"/>
      <c r="H31" s="212"/>
      <c r="I31" s="233"/>
    </row>
    <row r="32" spans="1:9" ht="15.75">
      <c r="A32" s="93" t="s">
        <v>212</v>
      </c>
      <c r="B32" s="17" t="s">
        <v>213</v>
      </c>
      <c r="C32" s="212"/>
      <c r="D32" s="212"/>
      <c r="E32" s="212"/>
      <c r="F32" s="212"/>
      <c r="G32" s="212"/>
      <c r="H32" s="212"/>
      <c r="I32" s="233"/>
    </row>
    <row r="33" spans="1:9" ht="15.75">
      <c r="A33" s="93" t="s">
        <v>117</v>
      </c>
      <c r="B33" s="17" t="s">
        <v>214</v>
      </c>
      <c r="C33" s="212"/>
      <c r="D33" s="212"/>
      <c r="E33" s="212"/>
      <c r="F33" s="212"/>
      <c r="G33" s="212"/>
      <c r="H33" s="212"/>
      <c r="I33" s="233"/>
    </row>
    <row r="34" spans="1:11" ht="15.75">
      <c r="A34" s="93" t="s">
        <v>29</v>
      </c>
      <c r="B34" s="41" t="s">
        <v>334</v>
      </c>
      <c r="C34" s="186">
        <f>C35+C38+C39+C40+C41</f>
        <v>0</v>
      </c>
      <c r="D34" s="186">
        <f>D35+D38+D39+D40+D41</f>
        <v>0</v>
      </c>
      <c r="E34" s="186"/>
      <c r="F34" s="186"/>
      <c r="G34" s="186"/>
      <c r="H34" s="186"/>
      <c r="I34" s="233"/>
      <c r="J34" s="178"/>
      <c r="K34" s="111"/>
    </row>
    <row r="35" spans="1:11" ht="15.75">
      <c r="A35" s="93" t="s">
        <v>31</v>
      </c>
      <c r="B35" s="17" t="s">
        <v>241</v>
      </c>
      <c r="C35" s="186">
        <f>C36+C37</f>
        <v>0</v>
      </c>
      <c r="D35" s="186">
        <f>D36+D37</f>
        <v>0</v>
      </c>
      <c r="E35" s="186"/>
      <c r="F35" s="186"/>
      <c r="G35" s="186"/>
      <c r="H35" s="186"/>
      <c r="I35" s="233"/>
      <c r="K35" s="111"/>
    </row>
    <row r="36" spans="1:10" ht="15.75">
      <c r="A36" s="133" t="s">
        <v>239</v>
      </c>
      <c r="B36" s="17" t="s">
        <v>242</v>
      </c>
      <c r="C36" s="186">
        <f>C37/0.28</f>
        <v>0</v>
      </c>
      <c r="D36" s="186">
        <f>D37/0.28</f>
        <v>0</v>
      </c>
      <c r="E36" s="186"/>
      <c r="F36" s="186"/>
      <c r="G36" s="186"/>
      <c r="H36" s="186"/>
      <c r="I36" s="233"/>
      <c r="J36" s="109"/>
    </row>
    <row r="37" spans="1:11" ht="15.75">
      <c r="A37" s="122" t="s">
        <v>240</v>
      </c>
      <c r="B37" s="17" t="s">
        <v>243</v>
      </c>
      <c r="C37" s="186">
        <f>'[3]Sheet1'!$L$51</f>
        <v>0</v>
      </c>
      <c r="D37" s="186">
        <f>'[3]Sheet1'!$L$76</f>
        <v>0</v>
      </c>
      <c r="E37" s="186"/>
      <c r="F37" s="186"/>
      <c r="G37" s="186"/>
      <c r="H37" s="186"/>
      <c r="I37" s="233"/>
      <c r="J37" s="109"/>
      <c r="K37" s="109"/>
    </row>
    <row r="38" spans="1:9" ht="15.75">
      <c r="A38" s="122" t="s">
        <v>32</v>
      </c>
      <c r="B38" s="17" t="s">
        <v>215</v>
      </c>
      <c r="C38" s="212"/>
      <c r="D38" s="212"/>
      <c r="E38" s="212"/>
      <c r="F38" s="212"/>
      <c r="G38" s="212"/>
      <c r="H38" s="212"/>
      <c r="I38" s="186"/>
    </row>
    <row r="39" spans="1:9" ht="15.75">
      <c r="A39" s="93" t="s">
        <v>327</v>
      </c>
      <c r="B39" s="17" t="s">
        <v>216</v>
      </c>
      <c r="C39" s="212"/>
      <c r="D39" s="212"/>
      <c r="E39" s="212"/>
      <c r="F39" s="212"/>
      <c r="G39" s="212"/>
      <c r="H39" s="212"/>
      <c r="I39" s="186"/>
    </row>
    <row r="40" spans="1:9" ht="15.75">
      <c r="A40" s="93" t="s">
        <v>109</v>
      </c>
      <c r="B40" s="17" t="s">
        <v>217</v>
      </c>
      <c r="C40" s="212"/>
      <c r="D40" s="212"/>
      <c r="E40" s="212"/>
      <c r="F40" s="212"/>
      <c r="G40" s="212"/>
      <c r="H40" s="212"/>
      <c r="I40" s="186"/>
    </row>
    <row r="41" spans="1:9" ht="15.75">
      <c r="A41" s="93" t="s">
        <v>110</v>
      </c>
      <c r="B41" s="17" t="s">
        <v>218</v>
      </c>
      <c r="C41" s="212"/>
      <c r="D41" s="212"/>
      <c r="E41" s="212"/>
      <c r="F41" s="212"/>
      <c r="G41" s="212"/>
      <c r="H41" s="212"/>
      <c r="I41" s="186"/>
    </row>
    <row r="42" spans="1:10" ht="15.75">
      <c r="A42" s="123"/>
      <c r="B42" s="41" t="s">
        <v>219</v>
      </c>
      <c r="C42" s="186">
        <f aca="true" t="shared" si="0" ref="C42:I42">C18+C37</f>
        <v>0</v>
      </c>
      <c r="D42" s="186">
        <f t="shared" si="0"/>
        <v>0</v>
      </c>
      <c r="E42" s="186"/>
      <c r="F42" s="186">
        <f t="shared" si="0"/>
        <v>30924.00354</v>
      </c>
      <c r="G42" s="186">
        <f>G18+G37</f>
        <v>12174</v>
      </c>
      <c r="H42" s="186"/>
      <c r="I42" s="186">
        <f t="shared" si="0"/>
        <v>43098.003540000005</v>
      </c>
      <c r="J42" s="109"/>
    </row>
    <row r="43" spans="1:9" ht="16.5" customHeight="1">
      <c r="A43" s="124"/>
      <c r="B43" s="17"/>
      <c r="C43" s="78"/>
      <c r="D43" s="78"/>
      <c r="E43" s="78"/>
      <c r="F43" s="78"/>
      <c r="G43" s="78"/>
      <c r="H43" s="78"/>
      <c r="I43" s="186"/>
    </row>
    <row r="44" spans="1:9" ht="16.5" customHeight="1">
      <c r="A44" s="27"/>
      <c r="B44" s="179"/>
      <c r="C44" s="26"/>
      <c r="D44" s="26"/>
      <c r="E44" s="26"/>
      <c r="F44" s="26"/>
      <c r="G44" s="26"/>
      <c r="H44" s="26"/>
      <c r="I44" s="536"/>
    </row>
    <row r="45" spans="1:9" ht="16.5" customHeight="1">
      <c r="A45" s="551" t="str">
        <f>'приложение 4.2 2016-2017 ген'!A48</f>
        <v>* -</v>
      </c>
      <c r="B45" s="840" t="str">
        <f>'приложение 4.2 2016-2017 ген'!B48:I48</f>
        <v>приказом РСТ Камчатского края №279-ОД от 31.10.2016 г. не утверждено.</v>
      </c>
      <c r="C45" s="840"/>
      <c r="D45" s="840"/>
      <c r="E45" s="840"/>
      <c r="F45" s="840"/>
      <c r="G45" s="840"/>
      <c r="H45" s="840"/>
      <c r="I45" s="840"/>
    </row>
    <row r="46" spans="1:9" ht="16.5" customHeight="1">
      <c r="A46" s="27"/>
      <c r="B46" s="179"/>
      <c r="C46" s="26"/>
      <c r="D46" s="26"/>
      <c r="E46" s="26"/>
      <c r="F46" s="26"/>
      <c r="G46" s="26"/>
      <c r="H46" s="26"/>
      <c r="I46" s="536"/>
    </row>
    <row r="47" spans="1:9" ht="16.5" customHeight="1">
      <c r="A47" s="27"/>
      <c r="B47" s="179"/>
      <c r="C47" s="26"/>
      <c r="D47" s="26"/>
      <c r="E47" s="26"/>
      <c r="F47" s="26"/>
      <c r="G47" s="26"/>
      <c r="H47" s="26"/>
      <c r="I47" s="536"/>
    </row>
    <row r="49" spans="1:2" ht="15.75">
      <c r="A49" s="27"/>
      <c r="B49" s="25"/>
    </row>
    <row r="50" spans="1:9" ht="43.5" customHeight="1">
      <c r="A50" s="607" t="s">
        <v>230</v>
      </c>
      <c r="B50" s="607"/>
      <c r="C50" s="223"/>
      <c r="D50" s="221"/>
      <c r="E50" s="221"/>
      <c r="F50" s="221"/>
      <c r="H50" s="83"/>
      <c r="I50" s="199" t="s">
        <v>231</v>
      </c>
    </row>
    <row r="51" ht="15.75">
      <c r="A51" s="27"/>
    </row>
    <row r="52" spans="1:9" ht="15.75">
      <c r="A52" s="24"/>
      <c r="B52" s="24"/>
      <c r="C52" s="24"/>
      <c r="D52" s="24"/>
      <c r="E52" s="24"/>
      <c r="F52" s="24"/>
      <c r="G52" s="24"/>
      <c r="H52" s="24"/>
      <c r="I52" s="24"/>
    </row>
    <row r="53" ht="15.75">
      <c r="A53" s="27"/>
    </row>
    <row r="54" spans="1:9" ht="15.75">
      <c r="A54" s="28"/>
      <c r="C54" s="51"/>
      <c r="D54" s="51"/>
      <c r="E54" s="51"/>
      <c r="F54" s="51"/>
      <c r="G54" s="51"/>
      <c r="H54" s="51"/>
      <c r="I54" s="50"/>
    </row>
    <row r="55" spans="3:8" ht="15.75">
      <c r="C55" s="30"/>
      <c r="D55" s="30"/>
      <c r="E55" s="30"/>
      <c r="F55" s="30"/>
      <c r="G55" s="30"/>
      <c r="H55" s="30"/>
    </row>
    <row r="56" spans="1:8" ht="15.75">
      <c r="A56" s="2"/>
      <c r="C56" s="32"/>
      <c r="D56" s="32"/>
      <c r="E56" s="32"/>
      <c r="F56" s="32"/>
      <c r="G56" s="32"/>
      <c r="H56" s="32"/>
    </row>
  </sheetData>
  <sheetProtection/>
  <mergeCells count="7">
    <mergeCell ref="E9:I9"/>
    <mergeCell ref="A4:B4"/>
    <mergeCell ref="G16:I16"/>
    <mergeCell ref="A50:B50"/>
    <mergeCell ref="B45:I45"/>
    <mergeCell ref="A13:I13"/>
    <mergeCell ref="A14:I14"/>
  </mergeCells>
  <printOptions/>
  <pageMargins left="0.7480314960629921" right="0.7480314960629921" top="0.2755905511811024" bottom="0.1968503937007874" header="0.2362204724409449" footer="0.1968503937007874"/>
  <pageSetup fitToHeight="0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R57"/>
  <sheetViews>
    <sheetView zoomScale="75" zoomScaleNormal="75" zoomScaleSheetLayoutView="80" zoomScalePageLayoutView="0" workbookViewId="0" topLeftCell="A14">
      <selection activeCell="I2" sqref="I2"/>
    </sheetView>
  </sheetViews>
  <sheetFormatPr defaultColWidth="9.00390625" defaultRowHeight="15.75"/>
  <cols>
    <col min="1" max="1" width="9.00390625" style="1" customWidth="1"/>
    <col min="2" max="2" width="53.00390625" style="1" customWidth="1"/>
    <col min="3" max="3" width="9.00390625" style="1" hidden="1" customWidth="1"/>
    <col min="4" max="4" width="9.50390625" style="1" hidden="1" customWidth="1"/>
    <col min="5" max="5" width="9.625" style="1" hidden="1" customWidth="1"/>
    <col min="6" max="6" width="0" style="1" hidden="1" customWidth="1"/>
    <col min="7" max="7" width="14.75390625" style="1" customWidth="1"/>
    <col min="8" max="8" width="15.125" style="1" bestFit="1" customWidth="1"/>
    <col min="9" max="9" width="11.875" style="1" customWidth="1"/>
    <col min="10" max="10" width="9.625" style="1" customWidth="1"/>
    <col min="11" max="16384" width="9.00390625" style="1" customWidth="1"/>
  </cols>
  <sheetData>
    <row r="1" ht="15.75">
      <c r="I1" s="3" t="s">
        <v>543</v>
      </c>
    </row>
    <row r="2" ht="15.75">
      <c r="I2" s="3" t="s">
        <v>7</v>
      </c>
    </row>
    <row r="3" spans="1:9" s="77" customFormat="1" ht="18.75">
      <c r="A3" s="219"/>
      <c r="B3" s="219"/>
      <c r="C3" s="219"/>
      <c r="D3" s="219"/>
      <c r="E3" s="219"/>
      <c r="F3" s="219"/>
      <c r="G3" s="219"/>
      <c r="H3" s="219"/>
      <c r="I3" s="219"/>
    </row>
    <row r="4" spans="1:9" s="77" customFormat="1" ht="18.75">
      <c r="A4" s="603" t="s">
        <v>289</v>
      </c>
      <c r="B4" s="569"/>
      <c r="C4" s="219"/>
      <c r="D4" s="219"/>
      <c r="E4" s="219"/>
      <c r="F4" s="219"/>
      <c r="G4" s="219"/>
      <c r="H4" s="219"/>
      <c r="I4" s="219"/>
    </row>
    <row r="5" spans="1:9" s="77" customFormat="1" ht="18.75">
      <c r="A5" s="219"/>
      <c r="B5" s="219"/>
      <c r="C5" s="219"/>
      <c r="D5" s="219"/>
      <c r="E5" s="219"/>
      <c r="F5" s="219"/>
      <c r="G5" s="219"/>
      <c r="H5" s="219"/>
      <c r="I5" s="219"/>
    </row>
    <row r="6" spans="1:10" s="77" customFormat="1" ht="15.75">
      <c r="A6" s="71"/>
      <c r="B6" s="71"/>
      <c r="C6" s="49"/>
      <c r="D6" s="1"/>
      <c r="E6" s="1"/>
      <c r="F6" s="1"/>
      <c r="G6" s="1"/>
      <c r="H6" s="1"/>
      <c r="I6" s="3" t="s">
        <v>9</v>
      </c>
      <c r="J6" s="83"/>
    </row>
    <row r="7" spans="3:10" ht="15.75">
      <c r="C7" s="49"/>
      <c r="I7" s="3" t="s">
        <v>416</v>
      </c>
      <c r="J7" s="83"/>
    </row>
    <row r="8" spans="3:10" ht="15.75">
      <c r="C8" s="49"/>
      <c r="I8" s="3"/>
      <c r="J8" s="83"/>
    </row>
    <row r="9" spans="4:10" ht="15.75" customHeight="1">
      <c r="D9" s="33"/>
      <c r="E9" s="33"/>
      <c r="F9" s="601" t="s">
        <v>315</v>
      </c>
      <c r="G9" s="842"/>
      <c r="H9" s="842"/>
      <c r="I9" s="842"/>
      <c r="J9" s="33"/>
    </row>
    <row r="10" spans="3:10" ht="15.75">
      <c r="C10" s="49"/>
      <c r="I10" s="3" t="s">
        <v>10</v>
      </c>
      <c r="J10" s="83"/>
    </row>
    <row r="11" spans="3:10" ht="15.75">
      <c r="C11" s="49"/>
      <c r="I11" s="3" t="s">
        <v>11</v>
      </c>
      <c r="J11" s="83"/>
    </row>
    <row r="12" spans="3:10" ht="15.75">
      <c r="C12" s="49"/>
      <c r="I12" s="3"/>
      <c r="J12" s="83"/>
    </row>
    <row r="13" spans="1:10" ht="15.75">
      <c r="A13" s="583" t="str">
        <f>'приложение 4.2 2016-2017 ген'!A14:I14</f>
        <v>Источники финансирования инвестиционной программы, тыс. рублей</v>
      </c>
      <c r="B13" s="583"/>
      <c r="C13" s="583"/>
      <c r="D13" s="583"/>
      <c r="E13" s="583"/>
      <c r="F13" s="583"/>
      <c r="G13" s="583"/>
      <c r="H13" s="583"/>
      <c r="I13" s="583"/>
      <c r="J13" s="83"/>
    </row>
    <row r="14" spans="1:10" ht="15.75">
      <c r="A14" s="583" t="str">
        <f>'приложение 4.2 2016-2017 ген'!A15:I15</f>
        <v>на 2016-2017 годы</v>
      </c>
      <c r="B14" s="583"/>
      <c r="C14" s="583"/>
      <c r="D14" s="583"/>
      <c r="E14" s="583"/>
      <c r="F14" s="583"/>
      <c r="G14" s="583"/>
      <c r="H14" s="583"/>
      <c r="I14" s="583"/>
      <c r="J14" s="83"/>
    </row>
    <row r="15" spans="3:10" ht="15.75">
      <c r="C15" s="49"/>
      <c r="I15" s="3"/>
      <c r="J15" s="83"/>
    </row>
    <row r="16" spans="1:9" ht="15.75">
      <c r="A16" s="32"/>
      <c r="H16" s="584" t="s">
        <v>306</v>
      </c>
      <c r="I16" s="584"/>
    </row>
    <row r="17" spans="1:9" ht="48" customHeight="1">
      <c r="A17" s="84" t="s">
        <v>12</v>
      </c>
      <c r="B17" s="84" t="s">
        <v>192</v>
      </c>
      <c r="C17" s="84" t="s">
        <v>6</v>
      </c>
      <c r="D17" s="84" t="str">
        <f>'приложение 4.2 2016-2017 ген'!C18</f>
        <v>Факт 2013 года </v>
      </c>
      <c r="E17" s="84" t="str">
        <f>'приложение 4.2 2016-2017 ген'!D18</f>
        <v>Факт 2014 года </v>
      </c>
      <c r="F17" s="84" t="str">
        <f>'приложение 4.2 2016-2017 ген'!E18</f>
        <v>Факт 2015 года </v>
      </c>
      <c r="G17" s="84" t="str">
        <f>'приложение 4.2 2016-2017 ген'!F18</f>
        <v>Факт 2016 года </v>
      </c>
      <c r="H17" s="84" t="str">
        <f>'приложение 4.2 2016-2017 ген'!G18</f>
        <v>План 2017 года (утверждено РСТ)</v>
      </c>
      <c r="I17" s="84" t="s">
        <v>18</v>
      </c>
    </row>
    <row r="18" spans="1:18" ht="15.75">
      <c r="A18" s="14">
        <v>1</v>
      </c>
      <c r="B18" s="17" t="s">
        <v>193</v>
      </c>
      <c r="C18" s="112"/>
      <c r="D18" s="161" t="e">
        <f>D19+D26+D30+D31+D33</f>
        <v>#REF!</v>
      </c>
      <c r="E18" s="161" t="e">
        <f>E19+E26+E30+E31+E33</f>
        <v>#REF!</v>
      </c>
      <c r="F18" s="161"/>
      <c r="G18" s="161">
        <f>G19+G26+G30+G31+G33</f>
        <v>30924.003540000005</v>
      </c>
      <c r="H18" s="161">
        <f>H19+H26+H30+H31+H33</f>
        <v>14573.599999999999</v>
      </c>
      <c r="I18" s="233">
        <f>G18+H18</f>
        <v>45497.603540000004</v>
      </c>
      <c r="J18" s="111"/>
      <c r="K18" s="111"/>
      <c r="L18" s="111"/>
      <c r="M18" s="111"/>
      <c r="N18" s="111"/>
      <c r="P18" s="111"/>
      <c r="R18" s="111"/>
    </row>
    <row r="19" spans="1:10" ht="15.75">
      <c r="A19" s="93" t="s">
        <v>22</v>
      </c>
      <c r="B19" s="41" t="s">
        <v>335</v>
      </c>
      <c r="C19" s="121"/>
      <c r="D19" s="233" t="e">
        <f aca="true" t="shared" si="0" ref="D19:I19">D20+D21+D22+D25</f>
        <v>#REF!</v>
      </c>
      <c r="E19" s="233" t="e">
        <f t="shared" si="0"/>
        <v>#REF!</v>
      </c>
      <c r="F19" s="233"/>
      <c r="G19" s="233">
        <f t="shared" si="0"/>
        <v>24094.964020000003</v>
      </c>
      <c r="H19" s="233">
        <f t="shared" si="0"/>
        <v>0</v>
      </c>
      <c r="I19" s="233">
        <f t="shared" si="0"/>
        <v>24094.964020000003</v>
      </c>
      <c r="J19" s="111"/>
    </row>
    <row r="20" spans="1:9" ht="15.75">
      <c r="A20" s="93" t="s">
        <v>194</v>
      </c>
      <c r="B20" s="17" t="s">
        <v>195</v>
      </c>
      <c r="C20" s="78"/>
      <c r="D20" s="233" t="e">
        <f>'приложение 4.2 2016-2017 ген'!C21+'приложение 4.2 2016-2017 тр'!C20</f>
        <v>#REF!</v>
      </c>
      <c r="E20" s="233" t="e">
        <f>'приложение 4.2 2016-2017 ген'!D21+'приложение 4.2 2016-2017 тр'!D20</f>
        <v>#REF!</v>
      </c>
      <c r="F20" s="233"/>
      <c r="G20" s="233">
        <f>'приложение 4.2 2016-2017 ген'!F21+'приложение 4.2 2016-2017 тр'!F20</f>
        <v>24094.964020000003</v>
      </c>
      <c r="H20" s="233">
        <f>'приложение 4.2 2016-2017 ген'!G21+'приложение 4.2 2016-2017 тр'!G20</f>
        <v>0</v>
      </c>
      <c r="I20" s="233">
        <f>'приложение 4.2 2016-2017 ген'!I21+'приложение 4.2 2016-2017 тр'!I20</f>
        <v>24094.964020000003</v>
      </c>
    </row>
    <row r="21" spans="1:9" ht="15.75">
      <c r="A21" s="93" t="s">
        <v>196</v>
      </c>
      <c r="B21" s="17" t="s">
        <v>197</v>
      </c>
      <c r="C21" s="78"/>
      <c r="D21" s="161"/>
      <c r="E21" s="161"/>
      <c r="F21" s="161"/>
      <c r="G21" s="161"/>
      <c r="H21" s="161"/>
      <c r="I21" s="233"/>
    </row>
    <row r="22" spans="1:9" ht="31.5">
      <c r="A22" s="93" t="s">
        <v>198</v>
      </c>
      <c r="B22" s="17" t="s">
        <v>199</v>
      </c>
      <c r="C22" s="78"/>
      <c r="D22" s="161"/>
      <c r="E22" s="161"/>
      <c r="F22" s="161"/>
      <c r="G22" s="161"/>
      <c r="H22" s="161"/>
      <c r="I22" s="233"/>
    </row>
    <row r="23" spans="1:9" ht="15.75">
      <c r="A23" s="93" t="s">
        <v>200</v>
      </c>
      <c r="B23" s="17" t="s">
        <v>201</v>
      </c>
      <c r="C23" s="78"/>
      <c r="D23" s="161"/>
      <c r="E23" s="161"/>
      <c r="F23" s="161"/>
      <c r="G23" s="161"/>
      <c r="H23" s="161"/>
      <c r="I23" s="233"/>
    </row>
    <row r="24" spans="1:10" ht="15.75">
      <c r="A24" s="93" t="s">
        <v>202</v>
      </c>
      <c r="B24" s="17" t="s">
        <v>203</v>
      </c>
      <c r="C24" s="78"/>
      <c r="D24" s="161"/>
      <c r="E24" s="161"/>
      <c r="F24" s="161"/>
      <c r="G24" s="161"/>
      <c r="H24" s="161"/>
      <c r="I24" s="233"/>
      <c r="J24" s="109"/>
    </row>
    <row r="25" spans="1:10" ht="15.75">
      <c r="A25" s="93" t="s">
        <v>204</v>
      </c>
      <c r="B25" s="17" t="s">
        <v>291</v>
      </c>
      <c r="C25" s="121">
        <v>0</v>
      </c>
      <c r="D25" s="161"/>
      <c r="E25" s="161"/>
      <c r="F25" s="161"/>
      <c r="G25" s="161"/>
      <c r="H25" s="161"/>
      <c r="I25" s="233"/>
      <c r="J25" s="109"/>
    </row>
    <row r="26" spans="1:10" ht="15.75">
      <c r="A26" s="93" t="s">
        <v>24</v>
      </c>
      <c r="B26" s="17" t="s">
        <v>332</v>
      </c>
      <c r="C26" s="78"/>
      <c r="D26" s="161">
        <f>D27+D28</f>
        <v>3620</v>
      </c>
      <c r="E26" s="161">
        <f>E27+E28</f>
        <v>6202.5</v>
      </c>
      <c r="F26" s="161"/>
      <c r="G26" s="161">
        <f>G27+G28</f>
        <v>6829.03952</v>
      </c>
      <c r="H26" s="161">
        <f>H27+H28</f>
        <v>14573.599999999999</v>
      </c>
      <c r="I26" s="161">
        <f>I27+I28</f>
        <v>21402.63952</v>
      </c>
      <c r="J26" s="109"/>
    </row>
    <row r="27" spans="1:10" ht="15.75">
      <c r="A27" s="93" t="s">
        <v>205</v>
      </c>
      <c r="B27" s="17" t="s">
        <v>290</v>
      </c>
      <c r="C27" s="78"/>
      <c r="D27" s="161">
        <f>'приложение 4.2 2016-2017 ген'!C28+'приложение 4.2 2016-2017 тр'!C27</f>
        <v>0</v>
      </c>
      <c r="E27" s="161">
        <f>'приложение 4.2 2016-2017 ген'!D28+'приложение 4.2 2016-2017 тр'!D27</f>
        <v>135</v>
      </c>
      <c r="F27" s="161"/>
      <c r="G27" s="161">
        <f>'приложение 4.2 2016-2017 ген'!F28+'приложение 4.2 2016-2017 тр'!F27</f>
        <v>2908.3298485333335</v>
      </c>
      <c r="H27" s="161">
        <v>4776.3</v>
      </c>
      <c r="I27" s="161">
        <f>G27+H27</f>
        <v>7684.629848533334</v>
      </c>
      <c r="J27" s="111"/>
    </row>
    <row r="28" spans="1:10" ht="15.75">
      <c r="A28" s="93" t="s">
        <v>207</v>
      </c>
      <c r="B28" s="17" t="s">
        <v>206</v>
      </c>
      <c r="C28" s="78"/>
      <c r="D28" s="161">
        <f>'приложение 4.2 2016-2017 ген'!C29+'приложение 4.2 2016-2017 тр'!C28</f>
        <v>3620</v>
      </c>
      <c r="E28" s="161">
        <f>'приложение 4.2 2016-2017 ген'!D29+'приложение 4.2 2016-2017 тр'!D28</f>
        <v>6067.5</v>
      </c>
      <c r="F28" s="161"/>
      <c r="G28" s="161">
        <f>'приложение 4.2 2016-2017 ген'!F29+'приложение 4.2 2016-2017 тр'!F28</f>
        <v>3920.7096714666673</v>
      </c>
      <c r="H28" s="161">
        <v>9797.3</v>
      </c>
      <c r="I28" s="161">
        <f>G28+H28</f>
        <v>13718.009671466667</v>
      </c>
      <c r="J28" s="111"/>
    </row>
    <row r="29" spans="1:9" ht="15.75">
      <c r="A29" s="93" t="s">
        <v>208</v>
      </c>
      <c r="B29" s="17" t="s">
        <v>209</v>
      </c>
      <c r="C29" s="78"/>
      <c r="D29" s="161"/>
      <c r="E29" s="161"/>
      <c r="F29" s="161"/>
      <c r="G29" s="161"/>
      <c r="H29" s="161"/>
      <c r="I29" s="161"/>
    </row>
    <row r="30" spans="1:9" ht="15.75">
      <c r="A30" s="93" t="s">
        <v>25</v>
      </c>
      <c r="B30" s="17" t="s">
        <v>210</v>
      </c>
      <c r="C30" s="78"/>
      <c r="D30" s="161"/>
      <c r="E30" s="161"/>
      <c r="F30" s="161"/>
      <c r="G30" s="161"/>
      <c r="H30" s="161"/>
      <c r="I30" s="161"/>
    </row>
    <row r="31" spans="1:9" ht="15.75">
      <c r="A31" s="93" t="s">
        <v>27</v>
      </c>
      <c r="B31" s="17" t="s">
        <v>211</v>
      </c>
      <c r="C31" s="78"/>
      <c r="D31" s="161"/>
      <c r="E31" s="161"/>
      <c r="F31" s="161"/>
      <c r="G31" s="161"/>
      <c r="H31" s="161"/>
      <c r="I31" s="161"/>
    </row>
    <row r="32" spans="1:9" ht="15.75">
      <c r="A32" s="93" t="s">
        <v>212</v>
      </c>
      <c r="B32" s="17" t="s">
        <v>213</v>
      </c>
      <c r="C32" s="78"/>
      <c r="D32" s="161"/>
      <c r="E32" s="161"/>
      <c r="F32" s="161"/>
      <c r="G32" s="161"/>
      <c r="H32" s="161"/>
      <c r="I32" s="161"/>
    </row>
    <row r="33" spans="1:9" ht="15.75">
      <c r="A33" s="93" t="s">
        <v>117</v>
      </c>
      <c r="B33" s="17" t="s">
        <v>214</v>
      </c>
      <c r="C33" s="78"/>
      <c r="D33" s="161"/>
      <c r="E33" s="161"/>
      <c r="F33" s="161"/>
      <c r="G33" s="161"/>
      <c r="H33" s="161"/>
      <c r="I33" s="161"/>
    </row>
    <row r="34" spans="1:10" ht="15.75">
      <c r="A34" s="93" t="s">
        <v>29</v>
      </c>
      <c r="B34" s="41" t="s">
        <v>334</v>
      </c>
      <c r="C34" s="121">
        <v>0</v>
      </c>
      <c r="D34" s="161">
        <f>D35+D38+D39+D40+D41</f>
        <v>0</v>
      </c>
      <c r="E34" s="161">
        <f>E35+E38+E39+E40+E41</f>
        <v>0</v>
      </c>
      <c r="F34" s="161"/>
      <c r="G34" s="161"/>
      <c r="H34" s="161"/>
      <c r="I34" s="161"/>
      <c r="J34" s="109"/>
    </row>
    <row r="35" spans="1:9" ht="15.75">
      <c r="A35" s="93" t="s">
        <v>31</v>
      </c>
      <c r="B35" s="17" t="s">
        <v>241</v>
      </c>
      <c r="C35" s="121">
        <v>0</v>
      </c>
      <c r="D35" s="161">
        <f>D36+D37</f>
        <v>0</v>
      </c>
      <c r="E35" s="161">
        <f>E36+E37</f>
        <v>0</v>
      </c>
      <c r="F35" s="161"/>
      <c r="G35" s="161"/>
      <c r="H35" s="161"/>
      <c r="I35" s="161"/>
    </row>
    <row r="36" spans="1:10" ht="15.75">
      <c r="A36" s="133" t="s">
        <v>239</v>
      </c>
      <c r="B36" s="17" t="s">
        <v>242</v>
      </c>
      <c r="C36" s="121">
        <v>0</v>
      </c>
      <c r="D36" s="161">
        <f>'приложение 4.2 2016-2017 ген'!C37+'приложение 4.2 2016-2017 тр'!C36</f>
        <v>0</v>
      </c>
      <c r="E36" s="161">
        <f>'приложение 4.2 2016-2017 ген'!D37+'приложение 4.2 2016-2017 тр'!D36</f>
        <v>0</v>
      </c>
      <c r="F36" s="161"/>
      <c r="G36" s="161"/>
      <c r="H36" s="161"/>
      <c r="I36" s="161"/>
      <c r="J36" s="109"/>
    </row>
    <row r="37" spans="1:11" ht="15.75">
      <c r="A37" s="122" t="s">
        <v>240</v>
      </c>
      <c r="B37" s="17" t="s">
        <v>243</v>
      </c>
      <c r="C37" s="121">
        <v>0</v>
      </c>
      <c r="D37" s="161">
        <f>'приложение 4.2 2016-2017 ген'!C38+'приложение 4.2 2016-2017 тр'!C37</f>
        <v>0</v>
      </c>
      <c r="E37" s="161">
        <f>'приложение 4.2 2016-2017 ген'!D38+'приложение 4.2 2016-2017 тр'!D37</f>
        <v>0</v>
      </c>
      <c r="F37" s="161"/>
      <c r="G37" s="161"/>
      <c r="H37" s="161"/>
      <c r="I37" s="161"/>
      <c r="J37" s="109"/>
      <c r="K37" s="109"/>
    </row>
    <row r="38" spans="1:9" ht="15.75">
      <c r="A38" s="122" t="s">
        <v>32</v>
      </c>
      <c r="B38" s="17" t="s">
        <v>215</v>
      </c>
      <c r="C38" s="78"/>
      <c r="D38" s="161"/>
      <c r="E38" s="161"/>
      <c r="F38" s="161"/>
      <c r="G38" s="161"/>
      <c r="H38" s="161"/>
      <c r="I38" s="233"/>
    </row>
    <row r="39" spans="1:9" ht="15.75">
      <c r="A39" s="93" t="s">
        <v>327</v>
      </c>
      <c r="B39" s="17" t="s">
        <v>216</v>
      </c>
      <c r="C39" s="78"/>
      <c r="D39" s="161"/>
      <c r="E39" s="161"/>
      <c r="F39" s="161"/>
      <c r="G39" s="161"/>
      <c r="H39" s="161"/>
      <c r="I39" s="233"/>
    </row>
    <row r="40" spans="1:9" ht="15.75">
      <c r="A40" s="93" t="s">
        <v>109</v>
      </c>
      <c r="B40" s="17" t="s">
        <v>217</v>
      </c>
      <c r="C40" s="78"/>
      <c r="D40" s="161"/>
      <c r="E40" s="161"/>
      <c r="F40" s="161"/>
      <c r="G40" s="161"/>
      <c r="H40" s="161"/>
      <c r="I40" s="233"/>
    </row>
    <row r="41" spans="1:9" ht="15.75">
      <c r="A41" s="93" t="s">
        <v>110</v>
      </c>
      <c r="B41" s="17" t="s">
        <v>218</v>
      </c>
      <c r="C41" s="78"/>
      <c r="D41" s="161"/>
      <c r="E41" s="161"/>
      <c r="F41" s="161"/>
      <c r="G41" s="161"/>
      <c r="H41" s="161"/>
      <c r="I41" s="233"/>
    </row>
    <row r="42" spans="1:10" ht="15.75">
      <c r="A42" s="123"/>
      <c r="B42" s="41" t="s">
        <v>219</v>
      </c>
      <c r="C42" s="121">
        <v>0</v>
      </c>
      <c r="D42" s="161" t="e">
        <f aca="true" t="shared" si="1" ref="D42:I42">D18+D37</f>
        <v>#REF!</v>
      </c>
      <c r="E42" s="161" t="e">
        <f t="shared" si="1"/>
        <v>#REF!</v>
      </c>
      <c r="F42" s="161"/>
      <c r="G42" s="161">
        <f t="shared" si="1"/>
        <v>30924.003540000005</v>
      </c>
      <c r="H42" s="161">
        <f>H18+H37</f>
        <v>14573.599999999999</v>
      </c>
      <c r="I42" s="161">
        <f t="shared" si="1"/>
        <v>45497.603540000004</v>
      </c>
      <c r="J42" s="109"/>
    </row>
    <row r="43" spans="1:10" ht="16.5" customHeight="1">
      <c r="A43" s="124"/>
      <c r="B43" s="17"/>
      <c r="C43" s="78"/>
      <c r="D43" s="78"/>
      <c r="E43" s="78"/>
      <c r="F43" s="78"/>
      <c r="G43" s="78"/>
      <c r="H43" s="78"/>
      <c r="I43" s="78"/>
      <c r="J43" s="109"/>
    </row>
    <row r="44" spans="1:9" ht="16.5" customHeight="1">
      <c r="A44" s="124"/>
      <c r="B44" s="79"/>
      <c r="C44" s="78"/>
      <c r="D44" s="78"/>
      <c r="E44" s="78"/>
      <c r="F44" s="78"/>
      <c r="G44" s="78"/>
      <c r="H44" s="78"/>
      <c r="I44" s="78"/>
    </row>
    <row r="45" spans="1:9" ht="16.5" customHeight="1">
      <c r="A45" s="124"/>
      <c r="B45" s="79"/>
      <c r="C45" s="78"/>
      <c r="D45" s="78"/>
      <c r="E45" s="78"/>
      <c r="F45" s="78"/>
      <c r="G45" s="78"/>
      <c r="H45" s="78"/>
      <c r="I45" s="78"/>
    </row>
    <row r="46" spans="1:9" ht="16.5" customHeight="1">
      <c r="A46" s="27"/>
      <c r="B46" s="552"/>
      <c r="C46" s="26"/>
      <c r="D46" s="26"/>
      <c r="E46" s="26"/>
      <c r="F46" s="26"/>
      <c r="G46" s="26"/>
      <c r="H46" s="26"/>
      <c r="I46" s="26"/>
    </row>
    <row r="47" spans="1:9" ht="16.5" customHeight="1">
      <c r="A47" s="27"/>
      <c r="B47" s="552"/>
      <c r="C47" s="26"/>
      <c r="D47" s="26"/>
      <c r="E47" s="26"/>
      <c r="F47" s="26"/>
      <c r="G47" s="26"/>
      <c r="H47" s="26"/>
      <c r="I47" s="26"/>
    </row>
    <row r="48" spans="1:9" ht="16.5" customHeight="1">
      <c r="A48" s="27"/>
      <c r="B48" s="552"/>
      <c r="C48" s="26"/>
      <c r="D48" s="26"/>
      <c r="E48" s="26"/>
      <c r="F48" s="26"/>
      <c r="G48" s="26"/>
      <c r="H48" s="26"/>
      <c r="I48" s="26"/>
    </row>
    <row r="49" spans="1:9" ht="16.5" customHeight="1">
      <c r="A49" s="27"/>
      <c r="B49" s="552"/>
      <c r="C49" s="26"/>
      <c r="D49" s="26"/>
      <c r="E49" s="26"/>
      <c r="F49" s="26"/>
      <c r="G49" s="26"/>
      <c r="H49" s="26"/>
      <c r="I49" s="26"/>
    </row>
    <row r="50" spans="1:9" ht="15.75">
      <c r="A50" s="26"/>
      <c r="B50" s="80"/>
      <c r="C50" s="26"/>
      <c r="D50" s="26"/>
      <c r="E50" s="26"/>
      <c r="F50" s="26"/>
      <c r="G50" s="26"/>
      <c r="H50" s="26"/>
      <c r="I50" s="26"/>
    </row>
    <row r="51" spans="1:9" ht="40.5" customHeight="1">
      <c r="A51" s="607" t="s">
        <v>230</v>
      </c>
      <c r="B51" s="607"/>
      <c r="C51" s="607"/>
      <c r="D51" s="223"/>
      <c r="E51" s="221"/>
      <c r="F51" s="221"/>
      <c r="G51" s="221"/>
      <c r="I51" s="199" t="s">
        <v>231</v>
      </c>
    </row>
    <row r="52" ht="15.75">
      <c r="A52" s="27"/>
    </row>
    <row r="53" spans="1:9" ht="15.75">
      <c r="A53" s="24"/>
      <c r="B53" s="24"/>
      <c r="C53" s="24"/>
      <c r="D53" s="24"/>
      <c r="E53" s="24"/>
      <c r="F53" s="24"/>
      <c r="G53" s="24"/>
      <c r="H53" s="24"/>
      <c r="I53" s="24"/>
    </row>
    <row r="54" ht="15.75">
      <c r="A54" s="27"/>
    </row>
    <row r="55" spans="1:9" ht="15.75">
      <c r="A55" s="28"/>
      <c r="C55" s="51"/>
      <c r="D55" s="51"/>
      <c r="E55" s="51"/>
      <c r="F55" s="51"/>
      <c r="G55" s="51"/>
      <c r="H55" s="51"/>
      <c r="I55" s="50"/>
    </row>
    <row r="56" spans="3:8" ht="15.75">
      <c r="C56" s="30"/>
      <c r="D56" s="30"/>
      <c r="E56" s="30"/>
      <c r="F56" s="30"/>
      <c r="G56" s="30"/>
      <c r="H56" s="30"/>
    </row>
    <row r="57" spans="1:8" ht="15.75">
      <c r="A57" s="2"/>
      <c r="D57" s="32"/>
      <c r="E57" s="32"/>
      <c r="F57" s="32"/>
      <c r="G57" s="32"/>
      <c r="H57" s="32"/>
    </row>
  </sheetData>
  <sheetProtection/>
  <mergeCells count="6">
    <mergeCell ref="F9:I9"/>
    <mergeCell ref="A4:B4"/>
    <mergeCell ref="H16:I16"/>
    <mergeCell ref="A13:I13"/>
    <mergeCell ref="A14:I14"/>
    <mergeCell ref="A51:C51"/>
  </mergeCells>
  <printOptions/>
  <pageMargins left="0.7480314960629921" right="0.7480314960629921" top="0.2755905511811024" bottom="0.1968503937007874" header="0.2362204724409449" footer="0.1968503937007874"/>
  <pageSetup fitToHeight="0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6.00390625" style="0" customWidth="1"/>
    <col min="2" max="2" width="5.625" style="0" customWidth="1"/>
    <col min="3" max="3" width="7.00390625" style="0" customWidth="1"/>
    <col min="4" max="4" width="8.875" style="0" hidden="1" customWidth="1"/>
    <col min="5" max="7" width="0" style="0" hidden="1" customWidth="1"/>
    <col min="9" max="9" width="10.875" style="0" customWidth="1"/>
    <col min="10" max="10" width="11.125" style="0" customWidth="1"/>
    <col min="11" max="11" width="12.50390625" style="0" customWidth="1"/>
    <col min="12" max="12" width="10.875" style="0" customWidth="1"/>
    <col min="13" max="13" width="6.875" style="0" customWidth="1"/>
    <col min="14" max="14" width="5.75390625" style="0" customWidth="1"/>
  </cols>
  <sheetData>
    <row r="1" spans="1:28" ht="48.75" customHeight="1">
      <c r="A1" s="846" t="s">
        <v>453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</row>
    <row r="2" spans="3:28" ht="18.75"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spans="1:11" ht="15.75">
      <c r="A3" s="603" t="s">
        <v>280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5.75">
      <c r="A4" s="159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ht="15.75">
      <c r="C5" s="159"/>
    </row>
    <row r="6" spans="3:13" ht="15.75">
      <c r="C6" s="843"/>
      <c r="D6" s="140"/>
      <c r="E6" s="140"/>
      <c r="F6" s="140"/>
      <c r="G6" s="140"/>
      <c r="H6" s="591" t="s">
        <v>452</v>
      </c>
      <c r="I6" s="845"/>
      <c r="J6" s="845"/>
      <c r="K6" s="845"/>
      <c r="L6" s="845"/>
      <c r="M6" s="251"/>
    </row>
    <row r="7" spans="3:13" ht="78.75">
      <c r="C7" s="844"/>
      <c r="D7" s="140"/>
      <c r="E7" s="140"/>
      <c r="F7" s="140"/>
      <c r="G7" s="140"/>
      <c r="H7" s="247" t="s">
        <v>307</v>
      </c>
      <c r="I7" s="158" t="s">
        <v>308</v>
      </c>
      <c r="J7" s="158" t="s">
        <v>309</v>
      </c>
      <c r="K7" s="158" t="s">
        <v>310</v>
      </c>
      <c r="L7" s="158" t="s">
        <v>311</v>
      </c>
      <c r="M7" s="252"/>
    </row>
    <row r="8" spans="3:13" ht="15.75">
      <c r="C8" s="140" t="s">
        <v>265</v>
      </c>
      <c r="D8" s="140">
        <v>550</v>
      </c>
      <c r="E8" s="140">
        <v>369.34</v>
      </c>
      <c r="F8" s="140">
        <v>203.137</v>
      </c>
      <c r="G8" s="140"/>
      <c r="H8" s="248">
        <v>780.2666666666665</v>
      </c>
      <c r="I8" s="94">
        <v>326.25</v>
      </c>
      <c r="J8" s="248">
        <f>I8*H8/1000</f>
        <v>254.56199999999998</v>
      </c>
      <c r="K8" s="248"/>
      <c r="L8" s="94"/>
      <c r="M8" s="251"/>
    </row>
    <row r="9" spans="3:13" ht="15.75">
      <c r="C9" s="140" t="s">
        <v>266</v>
      </c>
      <c r="D9" s="140">
        <v>600</v>
      </c>
      <c r="E9" s="140">
        <v>364.13</v>
      </c>
      <c r="F9" s="140">
        <v>218.478</v>
      </c>
      <c r="G9" s="140"/>
      <c r="H9" s="248">
        <v>851.2</v>
      </c>
      <c r="I9" s="94">
        <v>326.25</v>
      </c>
      <c r="J9" s="248">
        <f>I9*H9/1000</f>
        <v>277.704</v>
      </c>
      <c r="K9" s="248"/>
      <c r="L9" s="94"/>
      <c r="M9" s="251"/>
    </row>
    <row r="10" spans="3:13" ht="15.75">
      <c r="C10" s="140" t="s">
        <v>267</v>
      </c>
      <c r="D10" s="140">
        <v>200</v>
      </c>
      <c r="E10" s="140">
        <v>474.38</v>
      </c>
      <c r="F10" s="140">
        <v>94.876</v>
      </c>
      <c r="G10" s="140"/>
      <c r="H10" s="248">
        <v>283.7333333333333</v>
      </c>
      <c r="I10" s="94">
        <f>I9</f>
        <v>326.25</v>
      </c>
      <c r="J10" s="248">
        <f>I10*H10/1000</f>
        <v>92.56799999999998</v>
      </c>
      <c r="K10" s="248"/>
      <c r="L10" s="94"/>
      <c r="M10" s="251"/>
    </row>
    <row r="11" spans="3:13" ht="15.75">
      <c r="C11" s="140" t="s">
        <v>268</v>
      </c>
      <c r="D11" s="140">
        <v>93.75</v>
      </c>
      <c r="E11" s="140">
        <v>474.38</v>
      </c>
      <c r="F11" s="140">
        <v>44.473125</v>
      </c>
      <c r="G11" s="140"/>
      <c r="H11" s="248">
        <v>133</v>
      </c>
      <c r="I11" s="94">
        <f>I10</f>
        <v>326.25</v>
      </c>
      <c r="J11" s="248">
        <f>I11*H11/1000</f>
        <v>43.39125</v>
      </c>
      <c r="K11" s="248"/>
      <c r="L11" s="94"/>
      <c r="M11" s="251"/>
    </row>
    <row r="12" spans="3:13" ht="15.75">
      <c r="C12" s="140" t="s">
        <v>56</v>
      </c>
      <c r="D12" s="140">
        <v>1443.75</v>
      </c>
      <c r="E12" s="140">
        <v>388.54658008658004</v>
      </c>
      <c r="F12" s="140">
        <v>560.964125</v>
      </c>
      <c r="G12" s="140"/>
      <c r="H12" s="248">
        <v>2048.2</v>
      </c>
      <c r="I12" s="249">
        <f>I11</f>
        <v>326.25</v>
      </c>
      <c r="J12" s="248">
        <f>SUM(J8:J11)</f>
        <v>668.22525</v>
      </c>
      <c r="K12" s="248">
        <f>J12/1.45</f>
        <v>460.84499999999997</v>
      </c>
      <c r="L12" s="235">
        <v>3515</v>
      </c>
      <c r="M12" s="253"/>
    </row>
    <row r="13" spans="3:13" ht="15.75">
      <c r="C13" s="254"/>
      <c r="D13" s="254"/>
      <c r="E13" s="254"/>
      <c r="F13" s="254"/>
      <c r="G13" s="254"/>
      <c r="H13" s="255"/>
      <c r="I13" s="253"/>
      <c r="J13" s="255"/>
      <c r="K13" s="255"/>
      <c r="L13" s="253"/>
      <c r="M13" s="253"/>
    </row>
    <row r="14" spans="3:13" ht="15.75">
      <c r="C14" s="254"/>
      <c r="D14" s="254"/>
      <c r="E14" s="254"/>
      <c r="F14" s="254"/>
      <c r="G14" s="254"/>
      <c r="H14" s="255"/>
      <c r="I14" s="253"/>
      <c r="J14" s="255"/>
      <c r="K14" s="255"/>
      <c r="L14" s="253"/>
      <c r="M14" s="253"/>
    </row>
    <row r="15" spans="3:13" ht="15.75">
      <c r="C15" s="254"/>
      <c r="D15" s="254"/>
      <c r="E15" s="254"/>
      <c r="F15" s="254"/>
      <c r="G15" s="254"/>
      <c r="H15" s="255"/>
      <c r="I15" s="253"/>
      <c r="J15" s="255"/>
      <c r="K15" s="255"/>
      <c r="L15" s="253"/>
      <c r="M15" s="253"/>
    </row>
    <row r="16" spans="3:13" ht="15.75">
      <c r="C16" s="254"/>
      <c r="D16" s="254"/>
      <c r="E16" s="254"/>
      <c r="F16" s="254"/>
      <c r="G16" s="254"/>
      <c r="H16" s="255"/>
      <c r="I16" s="253"/>
      <c r="J16" s="255"/>
      <c r="K16" s="255"/>
      <c r="L16" s="253"/>
      <c r="M16" s="253"/>
    </row>
    <row r="19" spans="3:11" ht="15.75">
      <c r="C19" s="1" t="s">
        <v>312</v>
      </c>
      <c r="K19" s="1" t="s">
        <v>313</v>
      </c>
    </row>
    <row r="21" spans="3:32" ht="15.75"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AC21" s="250"/>
      <c r="AD21" s="250"/>
      <c r="AE21" s="250"/>
      <c r="AF21" s="250"/>
    </row>
  </sheetData>
  <sheetProtection/>
  <mergeCells count="4">
    <mergeCell ref="C6:C7"/>
    <mergeCell ref="H6:L6"/>
    <mergeCell ref="A3:K3"/>
    <mergeCell ref="A1:N1"/>
  </mergeCells>
  <printOptions/>
  <pageMargins left="0.84" right="0.2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9"/>
  <sheetViews>
    <sheetView view="pageBreakPreview" zoomScaleSheetLayoutView="100" zoomScalePageLayoutView="0" workbookViewId="0" topLeftCell="A90">
      <selection activeCell="Q13" sqref="Q13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3" width="8.125" style="49" hidden="1" customWidth="1"/>
    <col min="4" max="4" width="10.50390625" style="49" hidden="1" customWidth="1"/>
    <col min="5" max="5" width="9.25390625" style="49" hidden="1" customWidth="1"/>
    <col min="6" max="6" width="9.875" style="49" hidden="1" customWidth="1"/>
    <col min="7" max="10" width="9.375" style="83" bestFit="1" customWidth="1"/>
    <col min="11" max="12" width="9.125" style="83" hidden="1" customWidth="1"/>
    <col min="13" max="13" width="0" style="0" hidden="1" customWidth="1"/>
    <col min="21" max="21" width="9.75390625" style="0" bestFit="1" customWidth="1"/>
    <col min="25" max="25" width="9.75390625" style="0" bestFit="1" customWidth="1"/>
    <col min="33" max="33" width="9.75390625" style="0" bestFit="1" customWidth="1"/>
  </cols>
  <sheetData>
    <row r="2" spans="7:12" ht="15.75" customHeight="1">
      <c r="G2" s="49"/>
      <c r="H2" s="600" t="s">
        <v>4</v>
      </c>
      <c r="I2" s="600"/>
      <c r="J2" s="600"/>
      <c r="L2" s="213"/>
    </row>
    <row r="3" spans="7:11" ht="15.75" customHeight="1">
      <c r="G3" s="1"/>
      <c r="H3" s="600" t="s">
        <v>9</v>
      </c>
      <c r="I3" s="600"/>
      <c r="J3" s="600"/>
      <c r="K3" s="204"/>
    </row>
    <row r="4" spans="7:12" ht="15.75" customHeight="1">
      <c r="G4" s="1"/>
      <c r="H4" s="600" t="s">
        <v>37</v>
      </c>
      <c r="I4" s="600"/>
      <c r="J4" s="600"/>
      <c r="L4" s="213"/>
    </row>
    <row r="5" spans="7:12" ht="15.75" customHeight="1">
      <c r="G5" s="600">
        <f>'приложение 1.1 2016-2017 ген'!U8</f>
        <v>0</v>
      </c>
      <c r="H5" s="600"/>
      <c r="I5" s="600"/>
      <c r="J5" s="600"/>
      <c r="K5" s="130"/>
      <c r="L5" s="130"/>
    </row>
    <row r="6" spans="7:16" ht="15.75" customHeight="1">
      <c r="G6" s="600" t="s">
        <v>315</v>
      </c>
      <c r="H6" s="600"/>
      <c r="I6" s="600"/>
      <c r="J6" s="600"/>
      <c r="K6" s="213"/>
      <c r="L6" s="213"/>
      <c r="N6" s="211"/>
      <c r="O6" s="211"/>
      <c r="P6" s="211"/>
    </row>
    <row r="7" spans="7:12" ht="15.75" customHeight="1">
      <c r="G7" s="1"/>
      <c r="H7" s="1"/>
      <c r="I7" s="49"/>
      <c r="J7" s="3" t="s">
        <v>10</v>
      </c>
      <c r="K7" s="204"/>
      <c r="L7" s="204"/>
    </row>
    <row r="8" spans="7:10" ht="15.75" customHeight="1">
      <c r="G8" s="1"/>
      <c r="H8" s="600" t="s">
        <v>11</v>
      </c>
      <c r="I8" s="600"/>
      <c r="J8" s="600"/>
    </row>
    <row r="9" spans="7:12" ht="25.5" customHeight="1">
      <c r="G9" s="1"/>
      <c r="H9" s="1"/>
      <c r="L9" s="49"/>
    </row>
    <row r="10" spans="1:13" ht="42" customHeight="1">
      <c r="A10" s="850" t="s">
        <v>118</v>
      </c>
      <c r="B10" s="850"/>
      <c r="C10" s="850"/>
      <c r="D10" s="850"/>
      <c r="E10" s="850"/>
      <c r="F10" s="850"/>
      <c r="G10" s="648"/>
      <c r="H10" s="648"/>
      <c r="I10" s="648"/>
      <c r="J10" s="648"/>
      <c r="K10" s="648"/>
      <c r="L10" s="648"/>
      <c r="M10" s="648"/>
    </row>
    <row r="12" spans="9:10" ht="15.75">
      <c r="I12" s="683" t="s">
        <v>221</v>
      </c>
      <c r="J12" s="798"/>
    </row>
    <row r="13" ht="15.75">
      <c r="J13" s="83" t="s">
        <v>347</v>
      </c>
    </row>
    <row r="14" spans="1:13" ht="15.75">
      <c r="A14" s="832" t="s">
        <v>63</v>
      </c>
      <c r="B14" s="832" t="s">
        <v>119</v>
      </c>
      <c r="C14" s="847">
        <v>2010</v>
      </c>
      <c r="D14" s="847">
        <v>2011</v>
      </c>
      <c r="E14" s="847">
        <v>2012</v>
      </c>
      <c r="F14" s="847">
        <v>2013</v>
      </c>
      <c r="G14" s="847">
        <v>2014</v>
      </c>
      <c r="H14" s="847">
        <v>2015</v>
      </c>
      <c r="I14" s="847">
        <v>2016</v>
      </c>
      <c r="J14" s="847">
        <v>2017</v>
      </c>
      <c r="K14" s="847">
        <v>2018</v>
      </c>
      <c r="L14" s="847">
        <v>2019</v>
      </c>
      <c r="M14" s="847">
        <v>2020</v>
      </c>
    </row>
    <row r="15" spans="1:13" ht="15.75">
      <c r="A15" s="832"/>
      <c r="B15" s="832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</row>
    <row r="16" spans="1:13" ht="15.75">
      <c r="A16" s="832"/>
      <c r="B16" s="832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</row>
    <row r="17" spans="1:13" s="72" customFormat="1" ht="15.75">
      <c r="A17" s="103">
        <v>1</v>
      </c>
      <c r="B17" s="103">
        <v>2</v>
      </c>
      <c r="C17" s="103">
        <v>3</v>
      </c>
      <c r="D17" s="103">
        <v>4</v>
      </c>
      <c r="E17" s="103">
        <v>5</v>
      </c>
      <c r="F17" s="103">
        <v>6</v>
      </c>
      <c r="G17" s="103">
        <v>3</v>
      </c>
      <c r="H17" s="103">
        <v>4</v>
      </c>
      <c r="I17" s="103">
        <v>5</v>
      </c>
      <c r="J17" s="103">
        <v>6</v>
      </c>
      <c r="K17" s="103">
        <v>11</v>
      </c>
      <c r="L17" s="103">
        <v>12</v>
      </c>
      <c r="M17" s="103">
        <v>13</v>
      </c>
    </row>
    <row r="18" spans="1:13" s="72" customFormat="1" ht="15.75">
      <c r="A18" s="82" t="s">
        <v>120</v>
      </c>
      <c r="B18" s="74" t="s">
        <v>121</v>
      </c>
      <c r="C18" s="7">
        <v>64273</v>
      </c>
      <c r="D18" s="106">
        <v>82268.71598838334</v>
      </c>
      <c r="E18" s="106">
        <v>91157.0446001936</v>
      </c>
      <c r="F18" s="106">
        <v>102095.88995221686</v>
      </c>
      <c r="G18" s="106">
        <v>162761</v>
      </c>
      <c r="H18" s="106">
        <f>H22+H51+H55+H62</f>
        <v>192146.35694915254</v>
      </c>
      <c r="I18" s="106">
        <f>I22+I51+I55+I62</f>
        <v>189853.18374237287</v>
      </c>
      <c r="J18" s="106">
        <f>J22+J51+J55+J62</f>
        <v>183522.65650820345</v>
      </c>
      <c r="K18" s="106">
        <v>179927.8425461919</v>
      </c>
      <c r="L18" s="106">
        <v>201519.18365173496</v>
      </c>
      <c r="M18" s="106">
        <v>225701.4856899432</v>
      </c>
    </row>
    <row r="19" spans="1:13" s="72" customFormat="1" ht="15.75">
      <c r="A19" s="85"/>
      <c r="B19" s="73" t="s">
        <v>122</v>
      </c>
      <c r="C19" s="84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s="72" customFormat="1" ht="31.5">
      <c r="A20" s="85" t="s">
        <v>22</v>
      </c>
      <c r="B20" s="73" t="s">
        <v>123</v>
      </c>
      <c r="C20" s="84">
        <v>64273</v>
      </c>
      <c r="D20" s="105">
        <v>82268.71598838334</v>
      </c>
      <c r="E20" s="105">
        <v>91157.0446001936</v>
      </c>
      <c r="F20" s="105">
        <v>102095.88995221686</v>
      </c>
      <c r="G20" s="105">
        <f>G18</f>
        <v>162761</v>
      </c>
      <c r="H20" s="105">
        <f>H18</f>
        <v>192146.35694915254</v>
      </c>
      <c r="I20" s="105">
        <f>I18</f>
        <v>189853.18374237287</v>
      </c>
      <c r="J20" s="105">
        <f>J18</f>
        <v>183522.65650820345</v>
      </c>
      <c r="K20" s="105">
        <v>179927.8425461919</v>
      </c>
      <c r="L20" s="105">
        <v>201519.18365173496</v>
      </c>
      <c r="M20" s="105">
        <v>225701.4856899432</v>
      </c>
    </row>
    <row r="21" spans="1:13" s="72" customFormat="1" ht="15.75">
      <c r="A21" s="85" t="s">
        <v>24</v>
      </c>
      <c r="B21" s="73" t="s">
        <v>124</v>
      </c>
      <c r="C21" s="84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s="72" customFormat="1" ht="15.75">
      <c r="A22" s="82" t="s">
        <v>125</v>
      </c>
      <c r="B22" s="74" t="s">
        <v>126</v>
      </c>
      <c r="C22" s="7">
        <v>63318</v>
      </c>
      <c r="D22" s="106">
        <v>81178.10598838334</v>
      </c>
      <c r="E22" s="106">
        <v>89935.5614001936</v>
      </c>
      <c r="F22" s="106">
        <v>100727.82876821686</v>
      </c>
      <c r="G22" s="106">
        <f>G23+G28+G29+G33+G34</f>
        <v>128466</v>
      </c>
      <c r="H22" s="106">
        <f>H23+H28+H29+H33+H34</f>
        <v>144017.44</v>
      </c>
      <c r="I22" s="106">
        <f>I23+I28+I29+I33+I34</f>
        <v>161326.15682711866</v>
      </c>
      <c r="J22" s="106">
        <f>J23+J28+J29+J33+J34</f>
        <v>180332.45049057633</v>
      </c>
      <c r="K22" s="106">
        <v>177516.85129646075</v>
      </c>
      <c r="L22" s="106">
        <v>198818.87345203606</v>
      </c>
      <c r="M22" s="106">
        <v>222677.13826628044</v>
      </c>
    </row>
    <row r="23" spans="1:13" s="72" customFormat="1" ht="15.75">
      <c r="A23" s="82" t="s">
        <v>66</v>
      </c>
      <c r="B23" s="74" t="s">
        <v>127</v>
      </c>
      <c r="C23" s="107">
        <v>26370</v>
      </c>
      <c r="D23" s="107">
        <v>36492.74131749616</v>
      </c>
      <c r="E23" s="107">
        <v>41325.15506113112</v>
      </c>
      <c r="F23" s="107">
        <v>45626.457043517985</v>
      </c>
      <c r="G23" s="107">
        <f>G25+G26+G27</f>
        <v>73275</v>
      </c>
      <c r="H23" s="107">
        <f>H25+H26+H27</f>
        <v>82068</v>
      </c>
      <c r="I23" s="107">
        <f>I25+I26+I27</f>
        <v>88633.44000000002</v>
      </c>
      <c r="J23" s="107">
        <f>J25+J26+J27</f>
        <v>95724.11520000003</v>
      </c>
      <c r="K23" s="107">
        <v>75044.4043300787</v>
      </c>
      <c r="L23" s="107">
        <v>82938.75921943344</v>
      </c>
      <c r="M23" s="107">
        <v>12879.603112080005</v>
      </c>
    </row>
    <row r="24" spans="1:13" s="72" customFormat="1" ht="15.75">
      <c r="A24" s="85"/>
      <c r="B24" s="73" t="s">
        <v>122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s="72" customFormat="1" ht="15.75">
      <c r="A25" s="85" t="s">
        <v>22</v>
      </c>
      <c r="B25" s="73" t="s">
        <v>128</v>
      </c>
      <c r="C25" s="84">
        <v>12924</v>
      </c>
      <c r="D25" s="105">
        <v>20056.84891749616</v>
      </c>
      <c r="E25" s="105">
        <v>22916.955573131116</v>
      </c>
      <c r="F25" s="105">
        <v>25009.27361695798</v>
      </c>
      <c r="G25" s="105">
        <v>16470</v>
      </c>
      <c r="H25" s="105">
        <f>G25*1.12</f>
        <v>18446.4</v>
      </c>
      <c r="I25" s="105">
        <f aca="true" t="shared" si="0" ref="I25:J28">H25*1.08</f>
        <v>19922.112000000005</v>
      </c>
      <c r="J25" s="105">
        <f t="shared" si="0"/>
        <v>21515.880960000006</v>
      </c>
      <c r="K25" s="105">
        <v>38709.882587271786</v>
      </c>
      <c r="L25" s="105">
        <v>42244.09486748969</v>
      </c>
      <c r="M25" s="105">
        <v>0</v>
      </c>
    </row>
    <row r="26" spans="1:13" s="72" customFormat="1" ht="15.75">
      <c r="A26" s="85" t="s">
        <v>24</v>
      </c>
      <c r="B26" s="73" t="s">
        <v>129</v>
      </c>
      <c r="C26" s="84">
        <v>4067</v>
      </c>
      <c r="D26" s="105">
        <v>4644.513999999999</v>
      </c>
      <c r="E26" s="105">
        <v>5201.85568</v>
      </c>
      <c r="F26" s="105">
        <v>5826.0783616</v>
      </c>
      <c r="G26" s="105">
        <v>8356</v>
      </c>
      <c r="H26" s="105">
        <f>G26*1.12</f>
        <v>9358.720000000001</v>
      </c>
      <c r="I26" s="105">
        <f t="shared" si="0"/>
        <v>10107.417600000002</v>
      </c>
      <c r="J26" s="105">
        <f t="shared" si="0"/>
        <v>10916.011008000003</v>
      </c>
      <c r="K26" s="105">
        <v>10267.540746237248</v>
      </c>
      <c r="L26" s="105">
        <v>11499.645635785719</v>
      </c>
      <c r="M26" s="105">
        <v>12879.603112080005</v>
      </c>
    </row>
    <row r="27" spans="1:13" s="72" customFormat="1" ht="15.75">
      <c r="A27" s="85" t="s">
        <v>25</v>
      </c>
      <c r="B27" s="73" t="s">
        <v>130</v>
      </c>
      <c r="C27" s="84">
        <v>9379</v>
      </c>
      <c r="D27" s="105">
        <v>11791.3784</v>
      </c>
      <c r="E27" s="105">
        <v>13206.343808</v>
      </c>
      <c r="F27" s="105">
        <v>14791.105064960002</v>
      </c>
      <c r="G27" s="105">
        <v>48449</v>
      </c>
      <c r="H27" s="105">
        <f>G27*1.12</f>
        <v>54262.880000000005</v>
      </c>
      <c r="I27" s="105">
        <f t="shared" si="0"/>
        <v>58603.91040000001</v>
      </c>
      <c r="J27" s="105">
        <f t="shared" si="0"/>
        <v>63292.22323200001</v>
      </c>
      <c r="K27" s="105">
        <v>26066.980996569666</v>
      </c>
      <c r="L27" s="105">
        <v>29195.01871615803</v>
      </c>
      <c r="M27" s="105">
        <v>0</v>
      </c>
    </row>
    <row r="28" spans="1:13" s="72" customFormat="1" ht="15.75">
      <c r="A28" s="82" t="s">
        <v>29</v>
      </c>
      <c r="B28" s="74" t="s">
        <v>131</v>
      </c>
      <c r="C28" s="7">
        <v>25942</v>
      </c>
      <c r="D28" s="105">
        <v>29625.764</v>
      </c>
      <c r="E28" s="105">
        <v>33180.85568</v>
      </c>
      <c r="F28" s="105">
        <v>37162.55836160001</v>
      </c>
      <c r="G28" s="105">
        <f>35463+7302</f>
        <v>42765</v>
      </c>
      <c r="H28" s="105">
        <f>G28*1.12</f>
        <v>47896.8</v>
      </c>
      <c r="I28" s="105">
        <f t="shared" si="0"/>
        <v>51728.54400000001</v>
      </c>
      <c r="J28" s="105">
        <f t="shared" si="0"/>
        <v>55866.82752000001</v>
      </c>
      <c r="K28" s="105">
        <v>65493.125655000425</v>
      </c>
      <c r="L28" s="105">
        <v>73352.30073360048</v>
      </c>
      <c r="M28" s="105">
        <v>82154.57682163255</v>
      </c>
    </row>
    <row r="29" spans="1:13" s="72" customFormat="1" ht="15.75">
      <c r="A29" s="82" t="s">
        <v>132</v>
      </c>
      <c r="B29" s="74" t="s">
        <v>133</v>
      </c>
      <c r="C29" s="7">
        <v>3840</v>
      </c>
      <c r="D29" s="106">
        <v>3869</v>
      </c>
      <c r="E29" s="152">
        <v>6172</v>
      </c>
      <c r="F29" s="152">
        <v>7727</v>
      </c>
      <c r="G29" s="152">
        <f>9775+G30</f>
        <v>9775</v>
      </c>
      <c r="H29" s="152">
        <f>'приложение 4.2 2013-2017 свод'!F26/1.18</f>
        <v>0</v>
      </c>
      <c r="I29" s="152">
        <f>'приложение 4.2 2013-2017 свод'!G26/1.18</f>
        <v>5787.321627118645</v>
      </c>
      <c r="J29" s="152">
        <f>'приложение 4.2 2013-2017 свод'!H26/1.18</f>
        <v>12350.50847457627</v>
      </c>
      <c r="K29" s="152">
        <v>7595.160326688</v>
      </c>
      <c r="L29" s="152">
        <v>7388.737687763264</v>
      </c>
      <c r="M29" s="152">
        <v>7223.819840398665</v>
      </c>
    </row>
    <row r="30" spans="1:13" s="63" customFormat="1" ht="15.75">
      <c r="A30" s="85" t="s">
        <v>111</v>
      </c>
      <c r="B30" s="73" t="s">
        <v>257</v>
      </c>
      <c r="C30" s="84"/>
      <c r="D30" s="105">
        <v>29</v>
      </c>
      <c r="E30" s="105">
        <v>2332</v>
      </c>
      <c r="F30" s="105">
        <v>3887</v>
      </c>
      <c r="G30" s="105"/>
      <c r="H30" s="105">
        <f>'приложение 4.2 2013-2017 свод'!F27/1.18</f>
        <v>0</v>
      </c>
      <c r="I30" s="105">
        <f>'приложение 4.2 2013-2017 свод'!G27/1.18</f>
        <v>2464.6863123163844</v>
      </c>
      <c r="J30" s="105">
        <f>'приложение 4.2 2013-2017 свод'!H27/1.18</f>
        <v>4047.71186440678</v>
      </c>
      <c r="K30" s="105">
        <v>3755.160326688</v>
      </c>
      <c r="L30" s="105">
        <v>3548.737687763264</v>
      </c>
      <c r="M30" s="105">
        <v>3354.8198403986653</v>
      </c>
    </row>
    <row r="31" spans="1:13" s="176" customFormat="1" ht="15.75">
      <c r="A31" s="173" t="s">
        <v>283</v>
      </c>
      <c r="B31" s="167" t="s">
        <v>281</v>
      </c>
      <c r="C31" s="174"/>
      <c r="D31" s="175">
        <v>0</v>
      </c>
      <c r="E31" s="175">
        <v>2131</v>
      </c>
      <c r="F31" s="175">
        <v>3522</v>
      </c>
      <c r="G31" s="175">
        <f>'приложение 4.2 2016-2017 ген'!D27/1.18</f>
        <v>1436.4406779661017</v>
      </c>
      <c r="H31" s="175">
        <f>'приложение 4.2 2016-2017 ген'!E27/1.18</f>
        <v>1109.322033898305</v>
      </c>
      <c r="I31" s="175">
        <f>'приложение 4.2 2016-2017 ген'!F27/1.18</f>
        <v>963.431466101695</v>
      </c>
      <c r="J31" s="175">
        <f>'приложение 4.2 2016-2017 ген'!G27/1.18</f>
        <v>2033.898305084746</v>
      </c>
      <c r="K31" s="175">
        <v>2557.101175328</v>
      </c>
      <c r="L31" s="175">
        <v>2398.5609024576643</v>
      </c>
      <c r="M31" s="175">
        <v>2249.850126505289</v>
      </c>
    </row>
    <row r="32" spans="1:13" s="176" customFormat="1" ht="15.75">
      <c r="A32" s="173" t="s">
        <v>284</v>
      </c>
      <c r="B32" s="167" t="s">
        <v>282</v>
      </c>
      <c r="C32" s="174"/>
      <c r="D32" s="175">
        <v>29</v>
      </c>
      <c r="E32" s="175">
        <v>201</v>
      </c>
      <c r="F32" s="175">
        <v>365</v>
      </c>
      <c r="G32" s="175">
        <f>'приложение 4.2 2016-2017 тр'!D26/1.18</f>
        <v>3819.9152542372885</v>
      </c>
      <c r="H32" s="175">
        <f>'приложение 4.2 2016-2017 тр'!E26/1.18</f>
        <v>0</v>
      </c>
      <c r="I32" s="175">
        <f>'приложение 4.2 2016-2017 тр'!F26/1.18</f>
        <v>4823.89016101695</v>
      </c>
      <c r="J32" s="175">
        <f>'приложение 4.2 2016-2017 тр'!G26/1.18</f>
        <v>10316.949152542373</v>
      </c>
      <c r="K32" s="175">
        <v>1198.05915136</v>
      </c>
      <c r="L32" s="175">
        <v>1150.1767853056</v>
      </c>
      <c r="M32" s="175">
        <v>1104.969713893376</v>
      </c>
    </row>
    <row r="33" spans="1:13" s="72" customFormat="1" ht="15.75">
      <c r="A33" s="82" t="s">
        <v>134</v>
      </c>
      <c r="B33" s="74" t="s">
        <v>135</v>
      </c>
      <c r="C33" s="7">
        <v>411</v>
      </c>
      <c r="D33" s="105">
        <v>469.36199999999997</v>
      </c>
      <c r="E33" s="105">
        <v>525.68544</v>
      </c>
      <c r="F33" s="105">
        <v>588.7676928000001</v>
      </c>
      <c r="G33" s="105">
        <f>8+968</f>
        <v>976</v>
      </c>
      <c r="H33" s="105">
        <f>G33*1.12</f>
        <v>1093.1200000000001</v>
      </c>
      <c r="I33" s="105">
        <f>H33*1.08</f>
        <v>1180.5696000000003</v>
      </c>
      <c r="J33" s="105">
        <f>I33*1.08</f>
        <v>1275.0151680000004</v>
      </c>
      <c r="K33" s="105">
        <v>1037.6098467429333</v>
      </c>
      <c r="L33" s="105">
        <v>1162.1230283520854</v>
      </c>
      <c r="M33" s="105">
        <v>1301.5777917543357</v>
      </c>
    </row>
    <row r="34" spans="1:13" s="72" customFormat="1" ht="15.75">
      <c r="A34" s="82" t="s">
        <v>136</v>
      </c>
      <c r="B34" s="74" t="s">
        <v>137</v>
      </c>
      <c r="C34" s="107">
        <v>6755</v>
      </c>
      <c r="D34" s="107">
        <v>10721.238670887176</v>
      </c>
      <c r="E34" s="107">
        <v>8731.865219062487</v>
      </c>
      <c r="F34" s="107">
        <v>9623.045670298867</v>
      </c>
      <c r="G34" s="107">
        <f>G36+G37+G38</f>
        <v>1675</v>
      </c>
      <c r="H34" s="107">
        <f>H36+H37+H38</f>
        <v>12959.52</v>
      </c>
      <c r="I34" s="107">
        <f>I36+I37+I38</f>
        <v>13996.281600000002</v>
      </c>
      <c r="J34" s="107">
        <f>J36+J37+J38</f>
        <v>15115.984128000004</v>
      </c>
      <c r="K34" s="107">
        <v>28346.551137950686</v>
      </c>
      <c r="L34" s="107">
        <v>33976.95278288679</v>
      </c>
      <c r="M34" s="107">
        <v>119117.56070041488</v>
      </c>
    </row>
    <row r="35" spans="1:13" s="72" customFormat="1" ht="15.75">
      <c r="A35" s="85"/>
      <c r="B35" s="73" t="s">
        <v>122</v>
      </c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135"/>
    </row>
    <row r="36" spans="1:13" s="72" customFormat="1" ht="15.75">
      <c r="A36" s="85" t="s">
        <v>112</v>
      </c>
      <c r="B36" s="73" t="s">
        <v>223</v>
      </c>
      <c r="C36" s="84">
        <v>1639</v>
      </c>
      <c r="D36" s="105">
        <v>1871.7379999999998</v>
      </c>
      <c r="E36" s="105">
        <v>2096.34656</v>
      </c>
      <c r="F36" s="105">
        <v>2347.9081472000003</v>
      </c>
      <c r="G36" s="105">
        <v>4821</v>
      </c>
      <c r="H36" s="105">
        <f>G36*1.12</f>
        <v>5399.52</v>
      </c>
      <c r="I36" s="105">
        <f>H36*1.08</f>
        <v>5831.481600000001</v>
      </c>
      <c r="J36" s="105">
        <f>I36*1.08</f>
        <v>6298.0001280000015</v>
      </c>
      <c r="K36" s="105">
        <v>4137.816396135444</v>
      </c>
      <c r="L36" s="105">
        <v>4634.354363671698</v>
      </c>
      <c r="M36" s="105">
        <v>5190.476887312302</v>
      </c>
    </row>
    <row r="37" spans="1:13" s="72" customFormat="1" ht="15.75">
      <c r="A37" s="85" t="s">
        <v>113</v>
      </c>
      <c r="B37" s="73" t="s">
        <v>138</v>
      </c>
      <c r="C37" s="84">
        <v>89</v>
      </c>
      <c r="D37" s="105">
        <v>101.63799999999999</v>
      </c>
      <c r="E37" s="105">
        <v>113.83456</v>
      </c>
      <c r="F37" s="105">
        <v>127.49470720000001</v>
      </c>
      <c r="G37" s="105">
        <v>368</v>
      </c>
      <c r="H37" s="105">
        <f>G37*1.12</f>
        <v>412.16</v>
      </c>
      <c r="I37" s="105">
        <f>H37*1.08</f>
        <v>445.13280000000003</v>
      </c>
      <c r="J37" s="105">
        <f>I37*1.08</f>
        <v>480.74342400000006</v>
      </c>
      <c r="K37" s="105">
        <v>224.6892368859393</v>
      </c>
      <c r="L37" s="105">
        <v>251.65194531225202</v>
      </c>
      <c r="M37" s="105">
        <v>281.8501787497223</v>
      </c>
    </row>
    <row r="38" spans="1:13" s="156" customFormat="1" ht="15.75">
      <c r="A38" s="93" t="s">
        <v>114</v>
      </c>
      <c r="B38" s="89" t="s">
        <v>222</v>
      </c>
      <c r="C38" s="14">
        <v>5027</v>
      </c>
      <c r="D38" s="154">
        <v>8747.862670887176</v>
      </c>
      <c r="E38" s="154">
        <v>6521.684099062487</v>
      </c>
      <c r="F38" s="154">
        <v>7147.6428158988665</v>
      </c>
      <c r="G38" s="154">
        <f>455+6295+11797-21693-368</f>
        <v>-3514</v>
      </c>
      <c r="H38" s="154">
        <f>(455+6295)*1.12-H37</f>
        <v>7147.840000000001</v>
      </c>
      <c r="I38" s="154">
        <f>(455+6295)*1.12*1.08-I37</f>
        <v>7719.667200000001</v>
      </c>
      <c r="J38" s="154">
        <f>(455+6295)*1.12*1.08*1.08-J37</f>
        <v>8337.240576000002</v>
      </c>
      <c r="K38" s="154">
        <v>23984.045504929305</v>
      </c>
      <c r="L38" s="154">
        <v>29090.946473902837</v>
      </c>
      <c r="M38" s="154">
        <v>113645.23363435286</v>
      </c>
    </row>
    <row r="39" spans="1:13" s="156" customFormat="1" ht="63">
      <c r="A39" s="93" t="s">
        <v>115</v>
      </c>
      <c r="B39" s="89" t="s">
        <v>273</v>
      </c>
      <c r="C39" s="14"/>
      <c r="D39" s="154"/>
      <c r="E39" s="154">
        <v>0</v>
      </c>
      <c r="F39" s="154">
        <v>15939</v>
      </c>
      <c r="G39" s="154"/>
      <c r="H39" s="154"/>
      <c r="I39" s="154"/>
      <c r="J39" s="154"/>
      <c r="K39" s="154">
        <v>0</v>
      </c>
      <c r="L39" s="154"/>
      <c r="M39" s="155"/>
    </row>
    <row r="40" spans="1:13" s="171" customFormat="1" ht="15.75">
      <c r="A40" s="166" t="s">
        <v>287</v>
      </c>
      <c r="B40" s="167" t="s">
        <v>281</v>
      </c>
      <c r="C40" s="168"/>
      <c r="D40" s="169"/>
      <c r="E40" s="169">
        <v>0</v>
      </c>
      <c r="F40" s="169">
        <v>10607.4</v>
      </c>
      <c r="G40" s="169"/>
      <c r="H40" s="169"/>
      <c r="I40" s="169"/>
      <c r="J40" s="169"/>
      <c r="K40" s="169">
        <v>0</v>
      </c>
      <c r="L40" s="169"/>
      <c r="M40" s="170"/>
    </row>
    <row r="41" spans="1:13" s="171" customFormat="1" ht="15.75">
      <c r="A41" s="166" t="s">
        <v>288</v>
      </c>
      <c r="B41" s="167" t="s">
        <v>282</v>
      </c>
      <c r="C41" s="168"/>
      <c r="D41" s="169"/>
      <c r="E41" s="169">
        <v>0</v>
      </c>
      <c r="F41" s="169">
        <v>5331.599999999999</v>
      </c>
      <c r="G41" s="169"/>
      <c r="H41" s="169"/>
      <c r="I41" s="169"/>
      <c r="J41" s="169"/>
      <c r="K41" s="169">
        <v>0</v>
      </c>
      <c r="L41" s="169"/>
      <c r="M41" s="170"/>
    </row>
    <row r="42" spans="1:14" s="156" customFormat="1" ht="15.75">
      <c r="A42" s="93" t="s">
        <v>116</v>
      </c>
      <c r="B42" s="89" t="s">
        <v>272</v>
      </c>
      <c r="C42" s="14"/>
      <c r="D42" s="154"/>
      <c r="E42" s="154">
        <v>0</v>
      </c>
      <c r="F42" s="154">
        <v>15939</v>
      </c>
      <c r="G42" s="154"/>
      <c r="H42" s="154"/>
      <c r="I42" s="154"/>
      <c r="J42" s="154"/>
      <c r="K42" s="154">
        <v>0</v>
      </c>
      <c r="L42" s="154"/>
      <c r="M42" s="155"/>
      <c r="N42" s="157">
        <v>15939</v>
      </c>
    </row>
    <row r="43" spans="1:14" s="171" customFormat="1" ht="15.75">
      <c r="A43" s="166" t="s">
        <v>285</v>
      </c>
      <c r="B43" s="167" t="s">
        <v>281</v>
      </c>
      <c r="C43" s="168"/>
      <c r="D43" s="169"/>
      <c r="E43" s="169">
        <v>0</v>
      </c>
      <c r="F43" s="169">
        <v>10607.4</v>
      </c>
      <c r="G43" s="169"/>
      <c r="H43" s="169"/>
      <c r="I43" s="169"/>
      <c r="J43" s="169"/>
      <c r="K43" s="169"/>
      <c r="L43" s="169"/>
      <c r="M43" s="170"/>
      <c r="N43" s="172"/>
    </row>
    <row r="44" spans="1:14" s="171" customFormat="1" ht="15.75">
      <c r="A44" s="166" t="s">
        <v>286</v>
      </c>
      <c r="B44" s="167" t="s">
        <v>282</v>
      </c>
      <c r="C44" s="168"/>
      <c r="D44" s="169"/>
      <c r="E44" s="169">
        <v>0</v>
      </c>
      <c r="F44" s="169">
        <v>5331.599999999999</v>
      </c>
      <c r="G44" s="169"/>
      <c r="H44" s="169"/>
      <c r="I44" s="169"/>
      <c r="J44" s="169"/>
      <c r="K44" s="169"/>
      <c r="L44" s="169"/>
      <c r="M44" s="170"/>
      <c r="N44" s="172"/>
    </row>
    <row r="45" spans="1:13" s="72" customFormat="1" ht="15.75">
      <c r="A45" s="82" t="s">
        <v>139</v>
      </c>
      <c r="B45" s="74" t="s">
        <v>140</v>
      </c>
      <c r="C45" s="7">
        <v>955</v>
      </c>
      <c r="D45" s="106">
        <v>1090.61</v>
      </c>
      <c r="E45" s="106">
        <v>1221.4832</v>
      </c>
      <c r="F45" s="106">
        <v>1368.0611840000001</v>
      </c>
      <c r="G45" s="106">
        <f>G18-G22</f>
        <v>34295</v>
      </c>
      <c r="H45" s="106">
        <f aca="true" t="shared" si="1" ref="H45:M45">H18-H22</f>
        <v>48128.91694915254</v>
      </c>
      <c r="I45" s="106">
        <f t="shared" si="1"/>
        <v>28527.026915254217</v>
      </c>
      <c r="J45" s="106">
        <f t="shared" si="1"/>
        <v>3190.206017627119</v>
      </c>
      <c r="K45" s="106">
        <f t="shared" si="1"/>
        <v>2410.9912497311598</v>
      </c>
      <c r="L45" s="106">
        <f t="shared" si="1"/>
        <v>2700.310199698899</v>
      </c>
      <c r="M45" s="106">
        <f t="shared" si="1"/>
        <v>3024.3474236627517</v>
      </c>
    </row>
    <row r="46" spans="1:13" s="72" customFormat="1" ht="15.75">
      <c r="A46" s="82" t="s">
        <v>141</v>
      </c>
      <c r="B46" s="74" t="s">
        <v>142</v>
      </c>
      <c r="C46" s="7">
        <v>-250</v>
      </c>
      <c r="D46" s="107">
        <v>-285.5</v>
      </c>
      <c r="E46" s="107">
        <v>-319.76000000000005</v>
      </c>
      <c r="F46" s="107">
        <v>-358.1312000000001</v>
      </c>
      <c r="G46" s="107">
        <f>G47-G51</f>
        <v>-920</v>
      </c>
      <c r="H46" s="107">
        <f>H47-H51</f>
        <v>-1030.4</v>
      </c>
      <c r="I46" s="107">
        <f>I47-I51</f>
        <v>-1112.832</v>
      </c>
      <c r="J46" s="107">
        <f>J47-J51</f>
        <v>-1201.8585600000001</v>
      </c>
      <c r="K46" s="107">
        <v>-631.1495418144362</v>
      </c>
      <c r="L46" s="107">
        <v>-706.8874868321686</v>
      </c>
      <c r="M46" s="107">
        <v>-791.7139852520289</v>
      </c>
    </row>
    <row r="47" spans="1:13" s="72" customFormat="1" ht="15.75">
      <c r="A47" s="85" t="s">
        <v>66</v>
      </c>
      <c r="B47" s="73" t="s">
        <v>143</v>
      </c>
      <c r="C47" s="84"/>
      <c r="D47" s="105"/>
      <c r="E47" s="105"/>
      <c r="F47" s="105"/>
      <c r="G47" s="105"/>
      <c r="H47" s="105"/>
      <c r="I47" s="105"/>
      <c r="J47" s="105"/>
      <c r="K47" s="105"/>
      <c r="L47" s="105"/>
      <c r="M47" s="135"/>
    </row>
    <row r="48" spans="1:13" s="72" customFormat="1" ht="15.75" hidden="1">
      <c r="A48" s="85"/>
      <c r="B48" s="73" t="s">
        <v>144</v>
      </c>
      <c r="C48" s="84"/>
      <c r="D48" s="105"/>
      <c r="E48" s="105"/>
      <c r="F48" s="105"/>
      <c r="G48" s="105"/>
      <c r="H48" s="105"/>
      <c r="I48" s="105"/>
      <c r="J48" s="105"/>
      <c r="K48" s="105"/>
      <c r="L48" s="105"/>
      <c r="M48" s="135"/>
    </row>
    <row r="49" spans="1:13" s="72" customFormat="1" ht="31.5" hidden="1">
      <c r="A49" s="85" t="s">
        <v>22</v>
      </c>
      <c r="B49" s="73" t="s">
        <v>145</v>
      </c>
      <c r="C49" s="84"/>
      <c r="D49" s="105"/>
      <c r="E49" s="105"/>
      <c r="F49" s="105"/>
      <c r="G49" s="105"/>
      <c r="H49" s="105"/>
      <c r="I49" s="105"/>
      <c r="J49" s="105"/>
      <c r="K49" s="105"/>
      <c r="L49" s="105"/>
      <c r="M49" s="135"/>
    </row>
    <row r="50" spans="1:13" s="72" customFormat="1" ht="15.75" hidden="1">
      <c r="A50" s="85" t="s">
        <v>24</v>
      </c>
      <c r="B50" s="75" t="s">
        <v>146</v>
      </c>
      <c r="C50" s="85"/>
      <c r="D50" s="105"/>
      <c r="E50" s="105"/>
      <c r="F50" s="105"/>
      <c r="G50" s="105"/>
      <c r="H50" s="105"/>
      <c r="I50" s="105"/>
      <c r="J50" s="105"/>
      <c r="K50" s="105"/>
      <c r="L50" s="105"/>
      <c r="M50" s="135"/>
    </row>
    <row r="51" spans="1:13" s="72" customFormat="1" ht="15.75">
      <c r="A51" s="85" t="s">
        <v>29</v>
      </c>
      <c r="B51" s="73" t="s">
        <v>147</v>
      </c>
      <c r="C51" s="84">
        <v>250</v>
      </c>
      <c r="D51" s="95">
        <v>285.5</v>
      </c>
      <c r="E51" s="95">
        <v>319.76000000000005</v>
      </c>
      <c r="F51" s="95">
        <v>358.1312000000001</v>
      </c>
      <c r="G51" s="95">
        <f>G53</f>
        <v>920</v>
      </c>
      <c r="H51" s="95">
        <f>H53</f>
        <v>1030.4</v>
      </c>
      <c r="I51" s="95">
        <f>I53</f>
        <v>1112.832</v>
      </c>
      <c r="J51" s="95">
        <f>J53</f>
        <v>1201.8585600000001</v>
      </c>
      <c r="K51" s="95">
        <v>631.1495418144362</v>
      </c>
      <c r="L51" s="95">
        <v>706.8874868321686</v>
      </c>
      <c r="M51" s="95">
        <v>791.7139852520289</v>
      </c>
    </row>
    <row r="52" spans="1:13" s="72" customFormat="1" ht="15.75">
      <c r="A52" s="85"/>
      <c r="B52" s="73" t="s">
        <v>144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135"/>
    </row>
    <row r="53" spans="1:13" s="72" customFormat="1" ht="15.75">
      <c r="A53" s="85" t="s">
        <v>31</v>
      </c>
      <c r="B53" s="73" t="s">
        <v>148</v>
      </c>
      <c r="C53" s="84">
        <v>250</v>
      </c>
      <c r="D53" s="105">
        <v>285.5</v>
      </c>
      <c r="E53" s="105">
        <v>319.76000000000005</v>
      </c>
      <c r="F53" s="105">
        <v>358.1312000000001</v>
      </c>
      <c r="G53" s="105">
        <v>920</v>
      </c>
      <c r="H53" s="105">
        <f>G53*1.12</f>
        <v>1030.4</v>
      </c>
      <c r="I53" s="105">
        <f>H53*1.08</f>
        <v>1112.832</v>
      </c>
      <c r="J53" s="105">
        <f>I53*1.08</f>
        <v>1201.8585600000001</v>
      </c>
      <c r="K53" s="105">
        <v>631.1495418144362</v>
      </c>
      <c r="L53" s="105">
        <v>706.8874868321686</v>
      </c>
      <c r="M53" s="105">
        <v>791.7139852520289</v>
      </c>
    </row>
    <row r="54" spans="1:13" s="72" customFormat="1" ht="15.75">
      <c r="A54" s="82" t="s">
        <v>149</v>
      </c>
      <c r="B54" s="74" t="s">
        <v>150</v>
      </c>
      <c r="C54" s="7">
        <v>705</v>
      </c>
      <c r="D54" s="107">
        <v>805.1099999999999</v>
      </c>
      <c r="E54" s="107">
        <v>901.7231999999999</v>
      </c>
      <c r="F54" s="107">
        <v>1009.9299840000001</v>
      </c>
      <c r="G54" s="107">
        <f>G45+G46</f>
        <v>33375</v>
      </c>
      <c r="H54" s="107">
        <f aca="true" t="shared" si="2" ref="H54:M54">H45+H46</f>
        <v>47098.51694915254</v>
      </c>
      <c r="I54" s="107">
        <f t="shared" si="2"/>
        <v>27414.19491525422</v>
      </c>
      <c r="J54" s="107">
        <f t="shared" si="2"/>
        <v>1988.3474576271187</v>
      </c>
      <c r="K54" s="107">
        <f t="shared" si="2"/>
        <v>1779.8417079167234</v>
      </c>
      <c r="L54" s="107">
        <f t="shared" si="2"/>
        <v>1993.4227128667303</v>
      </c>
      <c r="M54" s="107">
        <f t="shared" si="2"/>
        <v>2232.6334384107226</v>
      </c>
    </row>
    <row r="55" spans="1:13" s="72" customFormat="1" ht="15.75">
      <c r="A55" s="82" t="s">
        <v>151</v>
      </c>
      <c r="B55" s="74" t="s">
        <v>102</v>
      </c>
      <c r="C55" s="7">
        <v>499</v>
      </c>
      <c r="D55" s="106">
        <v>569.858</v>
      </c>
      <c r="E55" s="106">
        <v>638.24096</v>
      </c>
      <c r="F55" s="106">
        <v>714.8298752000001</v>
      </c>
      <c r="G55" s="106">
        <v>6675</v>
      </c>
      <c r="H55" s="106">
        <f>O62*0.2</f>
        <v>9419.703389830509</v>
      </c>
      <c r="I55" s="106">
        <f>P62*0.2</f>
        <v>5482.838983050848</v>
      </c>
      <c r="J55" s="106">
        <f>Q62*0.2</f>
        <v>397.6694915254237</v>
      </c>
      <c r="K55" s="327">
        <v>1259.7744854616146</v>
      </c>
      <c r="L55" s="106">
        <v>1410.9474237170086</v>
      </c>
      <c r="M55" s="106">
        <v>1580.26111456305</v>
      </c>
    </row>
    <row r="56" spans="1:13" s="72" customFormat="1" ht="15.75">
      <c r="A56" s="82" t="s">
        <v>152</v>
      </c>
      <c r="B56" s="74" t="s">
        <v>153</v>
      </c>
      <c r="C56" s="7">
        <v>206</v>
      </c>
      <c r="D56" s="106">
        <v>235.25199999999998</v>
      </c>
      <c r="E56" s="106">
        <v>263.48224</v>
      </c>
      <c r="F56" s="106">
        <v>295.10010880000004</v>
      </c>
      <c r="G56" s="106">
        <f>G54-G55</f>
        <v>26700</v>
      </c>
      <c r="H56" s="106">
        <f>H54-H55</f>
        <v>37678.81355932203</v>
      </c>
      <c r="I56" s="106">
        <f>I54-I55</f>
        <v>21931.35593220337</v>
      </c>
      <c r="J56" s="106">
        <f>J54-J55</f>
        <v>1590.677966101695</v>
      </c>
      <c r="K56" s="327">
        <v>520.0672224550955</v>
      </c>
      <c r="L56" s="106">
        <v>582.475289149707</v>
      </c>
      <c r="M56" s="106">
        <v>652.372323847672</v>
      </c>
    </row>
    <row r="57" spans="1:13" s="72" customFormat="1" ht="15.75">
      <c r="A57" s="82" t="s">
        <v>154</v>
      </c>
      <c r="B57" s="74" t="s">
        <v>155</v>
      </c>
      <c r="C57" s="7">
        <v>206</v>
      </c>
      <c r="D57" s="106">
        <v>235.25199999999998</v>
      </c>
      <c r="E57" s="106">
        <v>263.48224</v>
      </c>
      <c r="F57" s="106">
        <v>295.10010880000004</v>
      </c>
      <c r="G57" s="106">
        <f>G62</f>
        <v>26700</v>
      </c>
      <c r="H57" s="106">
        <f aca="true" t="shared" si="3" ref="H57:M57">H62</f>
        <v>37678.813559322036</v>
      </c>
      <c r="I57" s="106">
        <f t="shared" si="3"/>
        <v>21931.35593220339</v>
      </c>
      <c r="J57" s="106">
        <f t="shared" si="3"/>
        <v>1590.677966101695</v>
      </c>
      <c r="K57" s="327">
        <f t="shared" si="3"/>
        <v>520.0672224550955</v>
      </c>
      <c r="L57" s="106">
        <f t="shared" si="3"/>
        <v>582.475289149707</v>
      </c>
      <c r="M57" s="106">
        <f t="shared" si="3"/>
        <v>652.372323847672</v>
      </c>
    </row>
    <row r="58" spans="1:13" s="72" customFormat="1" ht="15.75">
      <c r="A58" s="85"/>
      <c r="B58" s="73" t="s">
        <v>122</v>
      </c>
      <c r="C58" s="84"/>
      <c r="D58" s="85"/>
      <c r="E58" s="85"/>
      <c r="F58" s="85"/>
      <c r="G58" s="85"/>
      <c r="H58" s="85"/>
      <c r="I58" s="85"/>
      <c r="J58" s="85"/>
      <c r="K58" s="326"/>
      <c r="L58" s="85"/>
      <c r="M58" s="135"/>
    </row>
    <row r="59" spans="1:13" s="72" customFormat="1" ht="15.75">
      <c r="A59" s="85" t="s">
        <v>66</v>
      </c>
      <c r="B59" s="73" t="s">
        <v>156</v>
      </c>
      <c r="C59" s="84"/>
      <c r="D59" s="85"/>
      <c r="E59" s="85"/>
      <c r="F59" s="85"/>
      <c r="G59" s="85"/>
      <c r="H59" s="85"/>
      <c r="I59" s="85"/>
      <c r="J59" s="85"/>
      <c r="K59" s="326"/>
      <c r="L59" s="85"/>
      <c r="M59" s="135"/>
    </row>
    <row r="60" spans="1:13" s="72" customFormat="1" ht="15.75">
      <c r="A60" s="104" t="s">
        <v>29</v>
      </c>
      <c r="B60" s="73" t="s">
        <v>157</v>
      </c>
      <c r="C60" s="84"/>
      <c r="D60" s="85"/>
      <c r="E60" s="85"/>
      <c r="F60" s="85"/>
      <c r="G60" s="85"/>
      <c r="H60" s="85"/>
      <c r="I60" s="85"/>
      <c r="J60" s="85"/>
      <c r="K60" s="326"/>
      <c r="L60" s="85"/>
      <c r="M60" s="135"/>
    </row>
    <row r="61" spans="1:13" s="72" customFormat="1" ht="15.75">
      <c r="A61" s="85" t="s">
        <v>132</v>
      </c>
      <c r="B61" s="73" t="s">
        <v>158</v>
      </c>
      <c r="C61" s="84"/>
      <c r="D61" s="85"/>
      <c r="E61" s="85"/>
      <c r="F61" s="85"/>
      <c r="G61" s="85"/>
      <c r="H61" s="85"/>
      <c r="I61" s="85"/>
      <c r="J61" s="85"/>
      <c r="K61" s="326"/>
      <c r="L61" s="85"/>
      <c r="M61" s="135"/>
    </row>
    <row r="62" spans="1:17" s="72" customFormat="1" ht="15.75">
      <c r="A62" s="85" t="s">
        <v>134</v>
      </c>
      <c r="B62" s="73" t="s">
        <v>159</v>
      </c>
      <c r="C62" s="84">
        <v>206</v>
      </c>
      <c r="D62" s="105">
        <v>235.25199999999998</v>
      </c>
      <c r="E62" s="105">
        <v>263.48224</v>
      </c>
      <c r="F62" s="105">
        <v>295.10010880000004</v>
      </c>
      <c r="G62" s="105">
        <f>G56</f>
        <v>26700</v>
      </c>
      <c r="H62" s="105">
        <f>44461/1.18</f>
        <v>37678.813559322036</v>
      </c>
      <c r="I62" s="105">
        <f>25879/1.18</f>
        <v>21931.35593220339</v>
      </c>
      <c r="J62" s="105">
        <f>1877/1.18</f>
        <v>1590.677966101695</v>
      </c>
      <c r="K62" s="328">
        <v>520.0672224550955</v>
      </c>
      <c r="L62" s="105">
        <v>582.475289149707</v>
      </c>
      <c r="M62" s="105">
        <v>652.372323847672</v>
      </c>
      <c r="N62" s="72">
        <f>G62/0.8</f>
        <v>33375</v>
      </c>
      <c r="O62" s="72">
        <f>H62/0.8</f>
        <v>47098.516949152545</v>
      </c>
      <c r="P62" s="72">
        <f>I62/0.8</f>
        <v>27414.194915254237</v>
      </c>
      <c r="Q62" s="72">
        <f>J62/0.8</f>
        <v>1988.3474576271185</v>
      </c>
    </row>
    <row r="63" spans="1:13" s="72" customFormat="1" ht="15.75" hidden="1">
      <c r="A63" s="82" t="s">
        <v>160</v>
      </c>
      <c r="B63" s="74" t="s">
        <v>161</v>
      </c>
      <c r="C63" s="7"/>
      <c r="D63" s="82"/>
      <c r="E63" s="82"/>
      <c r="F63" s="82"/>
      <c r="G63" s="82"/>
      <c r="H63" s="82"/>
      <c r="I63" s="82"/>
      <c r="J63" s="82"/>
      <c r="K63" s="329"/>
      <c r="L63" s="82"/>
      <c r="M63" s="135"/>
    </row>
    <row r="64" spans="1:13" s="63" customFormat="1" ht="15.75" hidden="1">
      <c r="A64" s="85" t="s">
        <v>66</v>
      </c>
      <c r="B64" s="76" t="s">
        <v>162</v>
      </c>
      <c r="C64" s="81"/>
      <c r="D64" s="85"/>
      <c r="E64" s="85"/>
      <c r="F64" s="85"/>
      <c r="G64" s="85"/>
      <c r="H64" s="85"/>
      <c r="I64" s="85"/>
      <c r="J64" s="85"/>
      <c r="K64" s="326"/>
      <c r="L64" s="85"/>
      <c r="M64" s="136"/>
    </row>
    <row r="65" spans="1:13" s="63" customFormat="1" ht="15.75" hidden="1">
      <c r="A65" s="85" t="s">
        <v>29</v>
      </c>
      <c r="B65" s="73" t="s">
        <v>163</v>
      </c>
      <c r="C65" s="84"/>
      <c r="D65" s="85"/>
      <c r="E65" s="85"/>
      <c r="F65" s="85"/>
      <c r="G65" s="85"/>
      <c r="H65" s="85"/>
      <c r="I65" s="85"/>
      <c r="J65" s="85"/>
      <c r="K65" s="326"/>
      <c r="L65" s="85"/>
      <c r="M65" s="136"/>
    </row>
    <row r="66" spans="1:13" s="63" customFormat="1" ht="15.75" hidden="1">
      <c r="A66" s="85"/>
      <c r="B66" s="73" t="s">
        <v>164</v>
      </c>
      <c r="C66" s="84"/>
      <c r="D66" s="85"/>
      <c r="E66" s="85"/>
      <c r="F66" s="85"/>
      <c r="G66" s="85"/>
      <c r="H66" s="85"/>
      <c r="I66" s="85"/>
      <c r="J66" s="85"/>
      <c r="K66" s="326"/>
      <c r="L66" s="85"/>
      <c r="M66" s="136"/>
    </row>
    <row r="67" spans="1:13" s="72" customFormat="1" ht="15.75" hidden="1">
      <c r="A67" s="82" t="s">
        <v>165</v>
      </c>
      <c r="B67" s="74" t="s">
        <v>166</v>
      </c>
      <c r="C67" s="7"/>
      <c r="D67" s="82"/>
      <c r="E67" s="82"/>
      <c r="F67" s="82"/>
      <c r="G67" s="82"/>
      <c r="H67" s="82"/>
      <c r="I67" s="82"/>
      <c r="J67" s="82"/>
      <c r="K67" s="329"/>
      <c r="L67" s="82"/>
      <c r="M67" s="135"/>
    </row>
    <row r="68" spans="1:13" s="63" customFormat="1" ht="15.75" hidden="1">
      <c r="A68" s="85" t="s">
        <v>66</v>
      </c>
      <c r="B68" s="76" t="s">
        <v>167</v>
      </c>
      <c r="C68" s="81"/>
      <c r="D68" s="85"/>
      <c r="E68" s="85"/>
      <c r="F68" s="85"/>
      <c r="G68" s="85"/>
      <c r="H68" s="85"/>
      <c r="I68" s="85"/>
      <c r="J68" s="85"/>
      <c r="K68" s="326"/>
      <c r="L68" s="85"/>
      <c r="M68" s="136"/>
    </row>
    <row r="69" spans="1:13" s="63" customFormat="1" ht="15.75" hidden="1">
      <c r="A69" s="85" t="s">
        <v>29</v>
      </c>
      <c r="B69" s="73" t="s">
        <v>168</v>
      </c>
      <c r="C69" s="84"/>
      <c r="D69" s="85"/>
      <c r="E69" s="85"/>
      <c r="F69" s="85"/>
      <c r="G69" s="85"/>
      <c r="H69" s="85"/>
      <c r="I69" s="85"/>
      <c r="J69" s="85"/>
      <c r="K69" s="326"/>
      <c r="L69" s="85"/>
      <c r="M69" s="136"/>
    </row>
    <row r="70" spans="1:13" s="63" customFormat="1" ht="15.75" hidden="1">
      <c r="A70" s="85"/>
      <c r="B70" s="73" t="s">
        <v>164</v>
      </c>
      <c r="C70" s="84"/>
      <c r="D70" s="85"/>
      <c r="E70" s="85"/>
      <c r="F70" s="85"/>
      <c r="G70" s="85"/>
      <c r="H70" s="85"/>
      <c r="I70" s="85"/>
      <c r="J70" s="85"/>
      <c r="K70" s="326"/>
      <c r="L70" s="85"/>
      <c r="M70" s="136"/>
    </row>
    <row r="71" spans="1:10" s="72" customFormat="1" ht="15.75" hidden="1">
      <c r="A71" s="306"/>
      <c r="B71" s="344"/>
      <c r="C71" s="344"/>
      <c r="D71" s="344"/>
      <c r="E71" s="344"/>
      <c r="F71" s="344"/>
      <c r="G71" s="344"/>
      <c r="H71" s="344"/>
      <c r="I71" s="344"/>
      <c r="J71" s="345"/>
    </row>
    <row r="72" spans="1:10" s="72" customFormat="1" ht="15.75" hidden="1">
      <c r="A72" s="306"/>
      <c r="B72" s="344"/>
      <c r="C72" s="344"/>
      <c r="D72" s="344"/>
      <c r="E72" s="344"/>
      <c r="F72" s="344"/>
      <c r="G72" s="344"/>
      <c r="H72" s="344"/>
      <c r="I72" s="344"/>
      <c r="J72" s="345"/>
    </row>
    <row r="73" spans="1:10" s="72" customFormat="1" ht="15.75" hidden="1">
      <c r="A73" s="306"/>
      <c r="B73" s="344"/>
      <c r="C73" s="344"/>
      <c r="D73" s="344"/>
      <c r="E73" s="344"/>
      <c r="F73" s="344"/>
      <c r="G73" s="344"/>
      <c r="H73" s="344"/>
      <c r="I73" s="344"/>
      <c r="J73" s="345"/>
    </row>
    <row r="74" spans="1:10" s="72" customFormat="1" ht="15.75" hidden="1">
      <c r="A74" s="306"/>
      <c r="B74" s="344"/>
      <c r="C74" s="344"/>
      <c r="D74" s="344"/>
      <c r="E74" s="344"/>
      <c r="F74" s="344"/>
      <c r="G74" s="344"/>
      <c r="H74" s="344"/>
      <c r="I74" s="344"/>
      <c r="J74" s="345"/>
    </row>
    <row r="75" spans="1:10" s="72" customFormat="1" ht="15.75" hidden="1">
      <c r="A75" s="306"/>
      <c r="B75" s="344"/>
      <c r="C75" s="344"/>
      <c r="D75" s="344"/>
      <c r="E75" s="344"/>
      <c r="F75" s="344"/>
      <c r="G75" s="344"/>
      <c r="H75" s="344"/>
      <c r="I75" s="344"/>
      <c r="J75" s="345"/>
    </row>
    <row r="76" spans="1:10" s="72" customFormat="1" ht="15.75" hidden="1">
      <c r="A76" s="306"/>
      <c r="B76" s="344"/>
      <c r="C76" s="344"/>
      <c r="D76" s="344"/>
      <c r="E76" s="344"/>
      <c r="F76" s="344"/>
      <c r="G76" s="344"/>
      <c r="H76" s="344"/>
      <c r="I76" s="344"/>
      <c r="J76" s="345"/>
    </row>
    <row r="77" spans="1:10" s="72" customFormat="1" ht="15.75" hidden="1">
      <c r="A77" s="306"/>
      <c r="B77" s="344"/>
      <c r="C77" s="344"/>
      <c r="D77" s="344"/>
      <c r="E77" s="344"/>
      <c r="F77" s="344"/>
      <c r="G77" s="344"/>
      <c r="H77" s="344"/>
      <c r="I77" s="344"/>
      <c r="J77" s="345"/>
    </row>
    <row r="78" spans="1:10" s="72" customFormat="1" ht="15.75" hidden="1">
      <c r="A78" s="306"/>
      <c r="B78" s="344"/>
      <c r="C78" s="344"/>
      <c r="D78" s="344"/>
      <c r="E78" s="344"/>
      <c r="F78" s="344"/>
      <c r="G78" s="344"/>
      <c r="H78" s="344"/>
      <c r="I78" s="344"/>
      <c r="J78" s="345"/>
    </row>
    <row r="79" spans="1:10" s="72" customFormat="1" ht="15.75" hidden="1">
      <c r="A79" s="306"/>
      <c r="B79" s="344"/>
      <c r="C79" s="344"/>
      <c r="D79" s="344"/>
      <c r="E79" s="344"/>
      <c r="F79" s="344"/>
      <c r="G79" s="344"/>
      <c r="H79" s="344"/>
      <c r="I79" s="344"/>
      <c r="J79" s="345"/>
    </row>
    <row r="80" spans="1:10" s="72" customFormat="1" ht="15.75" hidden="1">
      <c r="A80" s="306"/>
      <c r="B80" s="344"/>
      <c r="C80" s="344"/>
      <c r="D80" s="344"/>
      <c r="E80" s="344"/>
      <c r="F80" s="344"/>
      <c r="G80" s="344"/>
      <c r="H80" s="344"/>
      <c r="I80" s="344"/>
      <c r="J80" s="345"/>
    </row>
    <row r="81" spans="1:10" s="72" customFormat="1" ht="15.75" hidden="1">
      <c r="A81" s="306"/>
      <c r="B81" s="344"/>
      <c r="C81" s="344"/>
      <c r="D81" s="344"/>
      <c r="E81" s="344"/>
      <c r="F81" s="344"/>
      <c r="G81" s="344"/>
      <c r="H81" s="344"/>
      <c r="I81" s="344"/>
      <c r="J81" s="345"/>
    </row>
    <row r="82" spans="1:10" s="72" customFormat="1" ht="15.75" hidden="1">
      <c r="A82" s="306"/>
      <c r="B82" s="344"/>
      <c r="C82" s="344"/>
      <c r="D82" s="344"/>
      <c r="E82" s="344"/>
      <c r="F82" s="344"/>
      <c r="G82" s="344"/>
      <c r="H82" s="344"/>
      <c r="I82" s="344"/>
      <c r="J82" s="345"/>
    </row>
    <row r="83" spans="1:13" s="72" customFormat="1" ht="15.75" hidden="1">
      <c r="A83" s="82" t="s">
        <v>178</v>
      </c>
      <c r="B83" s="74" t="s">
        <v>220</v>
      </c>
      <c r="C83" s="7"/>
      <c r="D83" s="82"/>
      <c r="E83" s="82"/>
      <c r="F83" s="82"/>
      <c r="G83" s="82"/>
      <c r="H83" s="82"/>
      <c r="I83" s="82"/>
      <c r="J83" s="82"/>
      <c r="K83" s="329"/>
      <c r="L83" s="82"/>
      <c r="M83" s="135"/>
    </row>
    <row r="84" spans="1:13" s="72" customFormat="1" ht="15.75" hidden="1">
      <c r="A84" s="82" t="s">
        <v>179</v>
      </c>
      <c r="B84" s="74" t="s">
        <v>180</v>
      </c>
      <c r="C84" s="7"/>
      <c r="D84" s="82"/>
      <c r="E84" s="82"/>
      <c r="F84" s="82"/>
      <c r="G84" s="82"/>
      <c r="H84" s="82"/>
      <c r="I84" s="82"/>
      <c r="J84" s="82"/>
      <c r="K84" s="329"/>
      <c r="L84" s="82"/>
      <c r="M84" s="135"/>
    </row>
    <row r="85" spans="1:13" s="72" customFormat="1" ht="15.75" hidden="1">
      <c r="A85" s="85" t="s">
        <v>66</v>
      </c>
      <c r="B85" s="73" t="s">
        <v>181</v>
      </c>
      <c r="C85" s="84"/>
      <c r="D85" s="85"/>
      <c r="E85" s="85"/>
      <c r="F85" s="85"/>
      <c r="G85" s="85"/>
      <c r="H85" s="85"/>
      <c r="I85" s="85"/>
      <c r="J85" s="85"/>
      <c r="K85" s="326"/>
      <c r="L85" s="85"/>
      <c r="M85" s="135"/>
    </row>
    <row r="86" spans="1:13" s="72" customFormat="1" ht="15.75" hidden="1">
      <c r="A86" s="85" t="s">
        <v>29</v>
      </c>
      <c r="B86" s="73" t="s">
        <v>182</v>
      </c>
      <c r="C86" s="84"/>
      <c r="D86" s="85"/>
      <c r="E86" s="85"/>
      <c r="F86" s="85"/>
      <c r="G86" s="85"/>
      <c r="H86" s="85"/>
      <c r="I86" s="85"/>
      <c r="J86" s="85"/>
      <c r="K86" s="326"/>
      <c r="L86" s="85"/>
      <c r="M86" s="135"/>
    </row>
    <row r="87" spans="1:13" s="72" customFormat="1" ht="15.75" hidden="1">
      <c r="A87" s="82" t="s">
        <v>183</v>
      </c>
      <c r="B87" s="74" t="s">
        <v>184</v>
      </c>
      <c r="C87" s="7"/>
      <c r="D87" s="85"/>
      <c r="E87" s="85"/>
      <c r="F87" s="85"/>
      <c r="G87" s="85"/>
      <c r="H87" s="85"/>
      <c r="I87" s="85"/>
      <c r="J87" s="85"/>
      <c r="K87" s="326"/>
      <c r="L87" s="85"/>
      <c r="M87" s="135"/>
    </row>
    <row r="88" spans="1:13" s="72" customFormat="1" ht="15.75" hidden="1">
      <c r="A88" s="82" t="s">
        <v>185</v>
      </c>
      <c r="B88" s="74" t="s">
        <v>186</v>
      </c>
      <c r="C88" s="7"/>
      <c r="D88" s="82"/>
      <c r="E88" s="82"/>
      <c r="F88" s="82"/>
      <c r="G88" s="82"/>
      <c r="H88" s="82"/>
      <c r="I88" s="82"/>
      <c r="J88" s="82"/>
      <c r="K88" s="329"/>
      <c r="L88" s="82"/>
      <c r="M88" s="135"/>
    </row>
    <row r="89" spans="1:13" s="72" customFormat="1" ht="15.75" hidden="1">
      <c r="A89" s="82"/>
      <c r="B89" s="73" t="s">
        <v>173</v>
      </c>
      <c r="C89" s="84"/>
      <c r="D89" s="82"/>
      <c r="E89" s="82"/>
      <c r="F89" s="82"/>
      <c r="G89" s="82"/>
      <c r="H89" s="82"/>
      <c r="I89" s="82"/>
      <c r="J89" s="82"/>
      <c r="K89" s="329"/>
      <c r="L89" s="82"/>
      <c r="M89" s="135"/>
    </row>
    <row r="90" spans="1:14" s="144" customFormat="1" ht="31.5">
      <c r="A90" s="307" t="s">
        <v>160</v>
      </c>
      <c r="B90" s="74" t="s">
        <v>248</v>
      </c>
      <c r="C90" s="7">
        <v>64273</v>
      </c>
      <c r="D90" s="106">
        <v>82268.71598838334</v>
      </c>
      <c r="E90" s="106">
        <v>91157.0446001936</v>
      </c>
      <c r="F90" s="106">
        <v>102095.88995221686</v>
      </c>
      <c r="G90" s="106">
        <f>G18</f>
        <v>162761</v>
      </c>
      <c r="H90" s="106">
        <f>H18</f>
        <v>192146.35694915254</v>
      </c>
      <c r="I90" s="106">
        <f>I18</f>
        <v>189853.18374237287</v>
      </c>
      <c r="J90" s="106">
        <f>J18</f>
        <v>183522.65650820345</v>
      </c>
      <c r="K90" s="327">
        <v>179927.8425461919</v>
      </c>
      <c r="L90" s="106">
        <v>201519.18365173496</v>
      </c>
      <c r="M90" s="106">
        <v>225701.4856899432</v>
      </c>
      <c r="N90" s="144">
        <f>N62*0.2</f>
        <v>6675</v>
      </c>
    </row>
    <row r="91" spans="1:13" s="72" customFormat="1" ht="47.25" hidden="1">
      <c r="A91" s="82" t="s">
        <v>185</v>
      </c>
      <c r="B91" s="74" t="s">
        <v>187</v>
      </c>
      <c r="C91" s="141">
        <v>64273</v>
      </c>
      <c r="D91" s="141">
        <v>82268.71598838334</v>
      </c>
      <c r="E91" s="141">
        <v>197417.04460019362</v>
      </c>
      <c r="F91" s="141">
        <v>102095.88995221686</v>
      </c>
      <c r="G91" s="141"/>
      <c r="H91" s="141"/>
      <c r="I91" s="141"/>
      <c r="J91" s="141"/>
      <c r="K91" s="330">
        <v>179927.8425461919</v>
      </c>
      <c r="L91" s="141">
        <v>201519.18365173496</v>
      </c>
      <c r="M91" s="141">
        <v>225701.4856899432</v>
      </c>
    </row>
    <row r="92" spans="1:13" s="72" customFormat="1" ht="47.25" hidden="1">
      <c r="A92" s="306"/>
      <c r="B92" s="74" t="s">
        <v>189</v>
      </c>
      <c r="C92" s="7">
        <v>64273</v>
      </c>
      <c r="D92" s="105">
        <v>82268.71598838334</v>
      </c>
      <c r="E92" s="105">
        <v>91157.0446001936</v>
      </c>
      <c r="F92" s="105">
        <v>102095.88995221686</v>
      </c>
      <c r="G92" s="105"/>
      <c r="H92" s="105"/>
      <c r="I92" s="105"/>
      <c r="J92" s="105"/>
      <c r="K92" s="328">
        <v>179927.8425461919</v>
      </c>
      <c r="L92" s="105">
        <v>201519.18365173496</v>
      </c>
      <c r="M92" s="105">
        <v>225701.4856899432</v>
      </c>
    </row>
    <row r="93" spans="1:13" s="72" customFormat="1" ht="47.25" hidden="1">
      <c r="A93" s="82" t="s">
        <v>188</v>
      </c>
      <c r="B93" s="74" t="s">
        <v>189</v>
      </c>
      <c r="C93" s="141">
        <v>64273</v>
      </c>
      <c r="D93" s="141">
        <v>82268.71598838334</v>
      </c>
      <c r="E93" s="141">
        <v>117722.0446001936</v>
      </c>
      <c r="F93" s="141">
        <v>102095.88995221686</v>
      </c>
      <c r="G93" s="141"/>
      <c r="H93" s="141"/>
      <c r="I93" s="141"/>
      <c r="J93" s="141"/>
      <c r="K93" s="330">
        <v>179927.8425461919</v>
      </c>
      <c r="L93" s="141">
        <v>201519.18365173496</v>
      </c>
      <c r="M93" s="141">
        <v>225701.4856899432</v>
      </c>
    </row>
    <row r="94" spans="1:14" s="72" customFormat="1" ht="31.5" hidden="1">
      <c r="A94" s="82"/>
      <c r="B94" s="74" t="s">
        <v>190</v>
      </c>
      <c r="C94" s="141"/>
      <c r="D94" s="141"/>
      <c r="E94" s="141"/>
      <c r="F94" s="141"/>
      <c r="G94" s="141"/>
      <c r="H94" s="141"/>
      <c r="I94" s="141"/>
      <c r="J94" s="141"/>
      <c r="K94" s="330"/>
      <c r="L94" s="141"/>
      <c r="M94" s="141">
        <v>0</v>
      </c>
      <c r="N94" s="142">
        <v>0</v>
      </c>
    </row>
    <row r="95" spans="1:13" s="72" customFormat="1" ht="15.75" hidden="1">
      <c r="A95" s="85"/>
      <c r="B95" s="73"/>
      <c r="C95" s="84"/>
      <c r="D95" s="85"/>
      <c r="E95" s="85"/>
      <c r="F95" s="85"/>
      <c r="G95" s="85"/>
      <c r="H95" s="85"/>
      <c r="I95" s="85"/>
      <c r="J95" s="85"/>
      <c r="K95" s="326"/>
      <c r="L95" s="85"/>
      <c r="M95" s="135"/>
    </row>
    <row r="96" spans="1:13" s="72" customFormat="1" ht="15.75">
      <c r="A96" s="85"/>
      <c r="B96" s="74" t="s">
        <v>33</v>
      </c>
      <c r="C96" s="7"/>
      <c r="D96" s="85"/>
      <c r="E96" s="85"/>
      <c r="F96" s="85"/>
      <c r="G96" s="85"/>
      <c r="H96" s="85"/>
      <c r="I96" s="85"/>
      <c r="J96" s="85"/>
      <c r="K96" s="326"/>
      <c r="L96" s="85"/>
      <c r="M96" s="135"/>
    </row>
    <row r="97" spans="1:13" s="72" customFormat="1" ht="15.75">
      <c r="A97" s="85" t="s">
        <v>66</v>
      </c>
      <c r="B97" s="73" t="s">
        <v>103</v>
      </c>
      <c r="C97" s="84"/>
      <c r="D97" s="86"/>
      <c r="E97" s="86"/>
      <c r="F97" s="86"/>
      <c r="G97" s="86"/>
      <c r="H97" s="86"/>
      <c r="I97" s="86"/>
      <c r="J97" s="86"/>
      <c r="K97" s="331"/>
      <c r="L97" s="86"/>
      <c r="M97" s="135"/>
    </row>
    <row r="98" spans="1:13" s="72" customFormat="1" ht="15.75">
      <c r="A98" s="85" t="s">
        <v>29</v>
      </c>
      <c r="B98" s="73" t="s">
        <v>191</v>
      </c>
      <c r="C98" s="84"/>
      <c r="D98" s="86"/>
      <c r="E98" s="86"/>
      <c r="F98" s="86"/>
      <c r="G98" s="86"/>
      <c r="H98" s="86"/>
      <c r="I98" s="86"/>
      <c r="J98" s="86"/>
      <c r="K98" s="331"/>
      <c r="L98" s="86"/>
      <c r="M98" s="135"/>
    </row>
    <row r="99" spans="1:13" s="72" customFormat="1" ht="31.5">
      <c r="A99" s="85" t="s">
        <v>66</v>
      </c>
      <c r="B99" s="73" t="s">
        <v>224</v>
      </c>
      <c r="C99" s="84">
        <v>11363</v>
      </c>
      <c r="D99" s="86">
        <v>12736</v>
      </c>
      <c r="E99" s="86">
        <v>12600</v>
      </c>
      <c r="F99" s="86">
        <v>12600</v>
      </c>
      <c r="G99" s="86">
        <v>17.203</v>
      </c>
      <c r="H99" s="86">
        <v>17.203</v>
      </c>
      <c r="I99" s="86">
        <v>17.203</v>
      </c>
      <c r="J99" s="86">
        <v>17.203</v>
      </c>
      <c r="K99" s="331">
        <v>17.203</v>
      </c>
      <c r="L99" s="86">
        <v>17.203</v>
      </c>
      <c r="M99" s="86">
        <v>17.203</v>
      </c>
    </row>
    <row r="100" spans="1:13" s="72" customFormat="1" ht="31.5">
      <c r="A100" s="85" t="s">
        <v>29</v>
      </c>
      <c r="B100" s="73" t="s">
        <v>256</v>
      </c>
      <c r="C100" s="91">
        <v>5.656340755082285</v>
      </c>
      <c r="D100" s="92">
        <v>6.459541142303968</v>
      </c>
      <c r="E100" s="92">
        <v>7.234686079380445</v>
      </c>
      <c r="F100" s="92">
        <v>8.1028484089061</v>
      </c>
      <c r="G100" s="92">
        <f>G90/G99/1000</f>
        <v>9.461198628146255</v>
      </c>
      <c r="H100" s="92">
        <f aca="true" t="shared" si="4" ref="H100:M100">H90/H99/1000</f>
        <v>11.169351679890283</v>
      </c>
      <c r="I100" s="92">
        <f t="shared" si="4"/>
        <v>11.036050906375218</v>
      </c>
      <c r="J100" s="92">
        <f t="shared" si="4"/>
        <v>10.66806118166619</v>
      </c>
      <c r="K100" s="332">
        <f t="shared" si="4"/>
        <v>10.459096817194206</v>
      </c>
      <c r="L100" s="92">
        <f t="shared" si="4"/>
        <v>11.71418843525751</v>
      </c>
      <c r="M100" s="92">
        <f t="shared" si="4"/>
        <v>13.119891047488414</v>
      </c>
    </row>
    <row r="101" spans="1:13" s="72" customFormat="1" ht="60" customHeight="1" hidden="1">
      <c r="A101" s="82"/>
      <c r="B101" s="74"/>
      <c r="C101" s="91"/>
      <c r="D101" s="92"/>
      <c r="E101" s="92"/>
      <c r="F101" s="86"/>
      <c r="G101" s="86"/>
      <c r="H101" s="86"/>
      <c r="I101" s="86"/>
      <c r="J101" s="86"/>
      <c r="K101" s="331"/>
      <c r="L101" s="86"/>
      <c r="M101" s="135"/>
    </row>
    <row r="102" spans="1:13" s="72" customFormat="1" ht="15.75" hidden="1">
      <c r="A102" s="85"/>
      <c r="B102" s="73"/>
      <c r="C102" s="95"/>
      <c r="D102" s="95"/>
      <c r="E102" s="95"/>
      <c r="F102" s="95"/>
      <c r="G102" s="95"/>
      <c r="H102" s="95"/>
      <c r="I102" s="95"/>
      <c r="J102" s="95"/>
      <c r="K102" s="333"/>
      <c r="L102" s="95"/>
      <c r="M102" s="135"/>
    </row>
    <row r="103" spans="1:13" s="72" customFormat="1" ht="15.75" hidden="1">
      <c r="A103" s="85"/>
      <c r="B103" s="73"/>
      <c r="C103" s="95"/>
      <c r="D103" s="95"/>
      <c r="E103" s="95"/>
      <c r="F103" s="95"/>
      <c r="G103" s="95"/>
      <c r="H103" s="95"/>
      <c r="I103" s="95"/>
      <c r="J103" s="95"/>
      <c r="K103" s="333"/>
      <c r="L103" s="95"/>
      <c r="M103" s="135"/>
    </row>
    <row r="104" spans="1:13" s="72" customFormat="1" ht="15.75" hidden="1">
      <c r="A104" s="85"/>
      <c r="B104" s="73"/>
      <c r="C104" s="95"/>
      <c r="D104" s="95"/>
      <c r="E104" s="95"/>
      <c r="F104" s="95"/>
      <c r="G104" s="95"/>
      <c r="H104" s="95"/>
      <c r="I104" s="95"/>
      <c r="J104" s="95"/>
      <c r="K104" s="333"/>
      <c r="L104" s="95"/>
      <c r="M104" s="135"/>
    </row>
    <row r="105" spans="1:13" s="72" customFormat="1" ht="15.75" hidden="1">
      <c r="A105" s="85"/>
      <c r="B105" s="73"/>
      <c r="C105" s="95"/>
      <c r="D105" s="95"/>
      <c r="E105" s="95"/>
      <c r="F105" s="95"/>
      <c r="G105" s="95"/>
      <c r="H105" s="95"/>
      <c r="I105" s="95"/>
      <c r="J105" s="95"/>
      <c r="K105" s="333"/>
      <c r="L105" s="95"/>
      <c r="M105" s="135"/>
    </row>
    <row r="106" spans="1:13" s="72" customFormat="1" ht="15.75" hidden="1">
      <c r="A106" s="85"/>
      <c r="B106" s="73"/>
      <c r="C106" s="95"/>
      <c r="D106" s="95"/>
      <c r="E106" s="95"/>
      <c r="F106" s="95"/>
      <c r="G106" s="95"/>
      <c r="H106" s="95"/>
      <c r="I106" s="95"/>
      <c r="J106" s="95"/>
      <c r="K106" s="333"/>
      <c r="L106" s="95"/>
      <c r="M106" s="135"/>
    </row>
    <row r="107" spans="1:13" s="72" customFormat="1" ht="15.75" hidden="1">
      <c r="A107" s="85"/>
      <c r="B107" s="73"/>
      <c r="C107" s="95"/>
      <c r="D107" s="95"/>
      <c r="E107" s="95"/>
      <c r="F107" s="95"/>
      <c r="G107" s="95"/>
      <c r="H107" s="95"/>
      <c r="I107" s="95"/>
      <c r="J107" s="95"/>
      <c r="K107" s="333"/>
      <c r="L107" s="95"/>
      <c r="M107" s="135"/>
    </row>
    <row r="108" spans="1:15" s="32" customFormat="1" ht="15.75" hidden="1">
      <c r="A108" s="99"/>
      <c r="B108" s="100"/>
      <c r="C108" s="101"/>
      <c r="D108" s="101"/>
      <c r="E108" s="101"/>
      <c r="F108" s="101"/>
      <c r="G108" s="101"/>
      <c r="H108" s="101"/>
      <c r="I108" s="101"/>
      <c r="J108" s="101"/>
      <c r="K108" s="334"/>
      <c r="L108" s="101"/>
      <c r="M108" s="138"/>
      <c r="N108" s="137">
        <v>0</v>
      </c>
      <c r="O108" s="143">
        <v>26565</v>
      </c>
    </row>
    <row r="109" spans="1:15" s="32" customFormat="1" ht="15.75" hidden="1">
      <c r="A109" s="99"/>
      <c r="B109" s="74" t="s">
        <v>33</v>
      </c>
      <c r="C109" s="101"/>
      <c r="D109" s="101"/>
      <c r="E109" s="101"/>
      <c r="F109" s="101"/>
      <c r="G109" s="101"/>
      <c r="H109" s="101"/>
      <c r="I109" s="101"/>
      <c r="J109" s="101"/>
      <c r="K109" s="334"/>
      <c r="L109" s="101"/>
      <c r="M109" s="138"/>
      <c r="N109" s="138">
        <v>111442</v>
      </c>
      <c r="O109" s="143">
        <v>138007</v>
      </c>
    </row>
    <row r="110" spans="1:14" ht="15.75" hidden="1">
      <c r="A110" s="39"/>
      <c r="B110" s="100" t="s">
        <v>228</v>
      </c>
      <c r="C110" s="90"/>
      <c r="D110" s="48"/>
      <c r="E110" s="48"/>
      <c r="F110" s="48"/>
      <c r="G110" s="94"/>
      <c r="H110" s="94"/>
      <c r="I110" s="94"/>
      <c r="J110" s="94"/>
      <c r="K110" s="335"/>
      <c r="L110" s="94"/>
      <c r="M110" s="140"/>
      <c r="N110" s="139">
        <v>-111442</v>
      </c>
    </row>
    <row r="111" spans="1:13" ht="15.75" hidden="1">
      <c r="A111" s="39"/>
      <c r="B111" s="89" t="s">
        <v>249</v>
      </c>
      <c r="C111" s="90">
        <v>1500</v>
      </c>
      <c r="D111" s="48">
        <v>2128</v>
      </c>
      <c r="E111" s="48">
        <v>2128</v>
      </c>
      <c r="F111" s="48">
        <v>2128</v>
      </c>
      <c r="G111" s="48"/>
      <c r="H111" s="48"/>
      <c r="I111" s="48"/>
      <c r="J111" s="48"/>
      <c r="K111" s="325">
        <v>2128</v>
      </c>
      <c r="L111" s="48">
        <v>2128</v>
      </c>
      <c r="M111" s="140"/>
    </row>
    <row r="112" spans="1:13" ht="15.75" hidden="1">
      <c r="A112" s="39"/>
      <c r="B112" s="89" t="s">
        <v>250</v>
      </c>
      <c r="C112" s="90">
        <v>56.25</v>
      </c>
      <c r="D112" s="98">
        <v>79.8</v>
      </c>
      <c r="E112" s="98">
        <v>79.8</v>
      </c>
      <c r="F112" s="98">
        <v>79.8</v>
      </c>
      <c r="G112" s="98"/>
      <c r="H112" s="98"/>
      <c r="I112" s="98"/>
      <c r="J112" s="98"/>
      <c r="K112" s="336">
        <v>79.8</v>
      </c>
      <c r="L112" s="98">
        <v>79.8</v>
      </c>
      <c r="M112" s="140"/>
    </row>
    <row r="113" spans="1:13" ht="15.75" hidden="1">
      <c r="A113" s="39"/>
      <c r="B113" s="89" t="s">
        <v>251</v>
      </c>
      <c r="C113" s="90">
        <v>1443.75</v>
      </c>
      <c r="D113" s="90">
        <v>2048.2</v>
      </c>
      <c r="E113" s="90">
        <v>2048.2</v>
      </c>
      <c r="F113" s="90">
        <v>2048.2</v>
      </c>
      <c r="G113" s="90"/>
      <c r="H113" s="90"/>
      <c r="I113" s="90"/>
      <c r="J113" s="90"/>
      <c r="K113" s="337">
        <v>2048.2</v>
      </c>
      <c r="L113" s="90">
        <v>2048.2</v>
      </c>
      <c r="M113" s="140"/>
    </row>
    <row r="114" spans="1:13" ht="15.75" hidden="1">
      <c r="A114" s="39"/>
      <c r="B114" s="89" t="s">
        <v>252</v>
      </c>
      <c r="C114" s="96">
        <v>388.6</v>
      </c>
      <c r="D114" s="96">
        <v>388.6</v>
      </c>
      <c r="E114" s="96">
        <v>388.6</v>
      </c>
      <c r="F114" s="96">
        <v>388.6</v>
      </c>
      <c r="G114" s="96"/>
      <c r="H114" s="96"/>
      <c r="I114" s="96"/>
      <c r="J114" s="96"/>
      <c r="K114" s="338">
        <v>388.6</v>
      </c>
      <c r="L114" s="96">
        <v>388.6</v>
      </c>
      <c r="M114" s="140"/>
    </row>
    <row r="115" spans="1:13" ht="15.75" hidden="1">
      <c r="A115" s="39"/>
      <c r="B115" s="89" t="s">
        <v>225</v>
      </c>
      <c r="C115" s="90">
        <v>561.04125</v>
      </c>
      <c r="D115" s="90">
        <v>795.93052</v>
      </c>
      <c r="E115" s="90">
        <v>795.93052</v>
      </c>
      <c r="F115" s="90">
        <v>795.93052</v>
      </c>
      <c r="G115" s="90"/>
      <c r="H115" s="90"/>
      <c r="I115" s="90"/>
      <c r="J115" s="90"/>
      <c r="K115" s="337">
        <v>795.93052</v>
      </c>
      <c r="L115" s="90">
        <v>795.93052</v>
      </c>
      <c r="M115" s="140"/>
    </row>
    <row r="116" spans="1:13" ht="15.75" hidden="1">
      <c r="A116" s="39"/>
      <c r="B116" s="89" t="s">
        <v>226</v>
      </c>
      <c r="C116" s="90">
        <v>386.925</v>
      </c>
      <c r="D116" s="90">
        <v>548.9176</v>
      </c>
      <c r="E116" s="90">
        <v>548.9176</v>
      </c>
      <c r="F116" s="90">
        <v>548.9176</v>
      </c>
      <c r="G116" s="90"/>
      <c r="H116" s="90"/>
      <c r="I116" s="90"/>
      <c r="J116" s="90"/>
      <c r="K116" s="337">
        <v>548.9176</v>
      </c>
      <c r="L116" s="90">
        <v>548.9176</v>
      </c>
      <c r="M116" s="140"/>
    </row>
    <row r="117" spans="1:17" ht="15.75" hidden="1">
      <c r="A117" s="39"/>
      <c r="B117" s="89" t="s">
        <v>253</v>
      </c>
      <c r="C117" s="90">
        <v>33482</v>
      </c>
      <c r="D117" s="98">
        <v>36538.9066</v>
      </c>
      <c r="E117" s="98">
        <v>41749.35468116</v>
      </c>
      <c r="F117" s="98">
        <v>45561.070763549906</v>
      </c>
      <c r="G117" s="98"/>
      <c r="H117" s="98"/>
      <c r="I117" s="98"/>
      <c r="J117" s="98"/>
      <c r="K117" s="336">
        <v>70520.38882934667</v>
      </c>
      <c r="L117" s="98">
        <v>76958.90032946602</v>
      </c>
      <c r="M117" s="140"/>
      <c r="Q117">
        <v>326.25</v>
      </c>
    </row>
    <row r="118" spans="1:19" ht="15.75" hidden="1">
      <c r="A118" s="39"/>
      <c r="B118" s="89" t="s">
        <v>254</v>
      </c>
      <c r="C118" s="90">
        <v>12955.02285</v>
      </c>
      <c r="D118" s="90">
        <v>20056.84891749616</v>
      </c>
      <c r="E118" s="90">
        <v>22916.955573131116</v>
      </c>
      <c r="F118" s="90">
        <v>25009.27361695798</v>
      </c>
      <c r="G118" s="90"/>
      <c r="H118" s="90"/>
      <c r="I118" s="90"/>
      <c r="J118" s="90"/>
      <c r="K118" s="337">
        <v>38709.882587271786</v>
      </c>
      <c r="L118" s="90">
        <v>42244.09486748969</v>
      </c>
      <c r="M118" s="140"/>
      <c r="S118" t="s">
        <v>264</v>
      </c>
    </row>
    <row r="119" spans="1:47" ht="15.75" hidden="1">
      <c r="A119" s="39"/>
      <c r="B119" s="89" t="s">
        <v>229</v>
      </c>
      <c r="C119" s="48">
        <v>11300</v>
      </c>
      <c r="D119" s="48">
        <v>12440</v>
      </c>
      <c r="E119" s="48">
        <v>12440</v>
      </c>
      <c r="F119" s="48">
        <v>12440</v>
      </c>
      <c r="G119" s="48"/>
      <c r="H119" s="48"/>
      <c r="I119" s="48"/>
      <c r="J119" s="48"/>
      <c r="K119" s="325">
        <v>12440</v>
      </c>
      <c r="L119" s="48">
        <v>12440</v>
      </c>
      <c r="M119" s="140"/>
      <c r="S119">
        <v>2012</v>
      </c>
      <c r="W119">
        <v>2013</v>
      </c>
      <c r="AA119">
        <v>2014</v>
      </c>
      <c r="AE119">
        <v>2015</v>
      </c>
      <c r="AI119">
        <v>2016</v>
      </c>
      <c r="AM119">
        <v>2017</v>
      </c>
      <c r="AQ119">
        <v>2018</v>
      </c>
      <c r="AU119">
        <v>2019</v>
      </c>
    </row>
    <row r="120" spans="1:49" ht="15.75" hidden="1">
      <c r="A120" s="39"/>
      <c r="B120" s="89" t="s">
        <v>227</v>
      </c>
      <c r="C120" s="48">
        <v>0.83</v>
      </c>
      <c r="D120" s="97">
        <v>0.9478599999999999</v>
      </c>
      <c r="E120" s="97">
        <v>1.0616032</v>
      </c>
      <c r="F120" s="97">
        <v>1.1889955840000002</v>
      </c>
      <c r="G120" s="97"/>
      <c r="H120" s="97"/>
      <c r="I120" s="97"/>
      <c r="J120" s="97"/>
      <c r="K120" s="339">
        <v>2.0954164788239282</v>
      </c>
      <c r="L120" s="97">
        <v>2.3468664562828</v>
      </c>
      <c r="M120" s="140"/>
      <c r="N120" t="s">
        <v>265</v>
      </c>
      <c r="O120">
        <v>550</v>
      </c>
      <c r="P120">
        <v>369.34</v>
      </c>
      <c r="Q120">
        <v>203.137</v>
      </c>
      <c r="S120">
        <v>780.2666666666665</v>
      </c>
      <c r="T120">
        <v>369.34</v>
      </c>
      <c r="U120">
        <v>288.1836906666666</v>
      </c>
      <c r="W120">
        <v>780.2666666666665</v>
      </c>
      <c r="X120">
        <v>326.25</v>
      </c>
      <c r="Y120">
        <v>254.56199999999998</v>
      </c>
      <c r="AA120">
        <v>780.2666666666665</v>
      </c>
      <c r="AB120">
        <v>326.25</v>
      </c>
      <c r="AC120">
        <v>254.56199999999998</v>
      </c>
      <c r="AE120">
        <v>780.2666666666665</v>
      </c>
      <c r="AF120">
        <v>326.25</v>
      </c>
      <c r="AG120">
        <v>254.56199999999998</v>
      </c>
      <c r="AI120">
        <v>780.2666666666665</v>
      </c>
      <c r="AJ120">
        <v>326.25</v>
      </c>
      <c r="AK120">
        <v>254.56199999999998</v>
      </c>
      <c r="AM120">
        <v>780.2666666666665</v>
      </c>
      <c r="AN120">
        <v>326.25</v>
      </c>
      <c r="AO120">
        <v>254.56199999999998</v>
      </c>
      <c r="AQ120">
        <v>780.2666666666665</v>
      </c>
      <c r="AR120">
        <v>326.25</v>
      </c>
      <c r="AS120">
        <v>254.56199999999998</v>
      </c>
      <c r="AU120">
        <v>780.2666666666665</v>
      </c>
      <c r="AV120">
        <v>326.25</v>
      </c>
      <c r="AW120">
        <v>254.56199999999998</v>
      </c>
    </row>
    <row r="121" spans="1:49" ht="15.75" hidden="1">
      <c r="A121" s="39"/>
      <c r="B121" s="89" t="s">
        <v>255</v>
      </c>
      <c r="C121" s="48">
        <v>9379</v>
      </c>
      <c r="D121" s="98">
        <v>11791.3784</v>
      </c>
      <c r="E121" s="98">
        <v>13206.343808</v>
      </c>
      <c r="F121" s="98">
        <v>14791.105064960002</v>
      </c>
      <c r="G121" s="98"/>
      <c r="H121" s="98"/>
      <c r="I121" s="98"/>
      <c r="J121" s="98"/>
      <c r="K121" s="336">
        <v>26066.980996569666</v>
      </c>
      <c r="L121" s="98">
        <v>29195.01871615803</v>
      </c>
      <c r="M121" s="140"/>
      <c r="N121" t="s">
        <v>266</v>
      </c>
      <c r="O121" s="102">
        <v>600</v>
      </c>
      <c r="P121">
        <v>364.13</v>
      </c>
      <c r="Q121">
        <v>218.478</v>
      </c>
      <c r="S121" s="102">
        <v>851.1999999999999</v>
      </c>
      <c r="T121">
        <v>364.13</v>
      </c>
      <c r="U121">
        <v>309.94745599999993</v>
      </c>
      <c r="W121" s="102">
        <v>851.1999999999999</v>
      </c>
      <c r="X121">
        <v>326.25</v>
      </c>
      <c r="Y121">
        <v>277.704</v>
      </c>
      <c r="AA121" s="102">
        <v>851.1999999999999</v>
      </c>
      <c r="AB121">
        <v>326.25</v>
      </c>
      <c r="AC121">
        <v>277.704</v>
      </c>
      <c r="AE121">
        <v>851.1999999999999</v>
      </c>
      <c r="AF121">
        <v>326.25</v>
      </c>
      <c r="AG121">
        <v>277.704</v>
      </c>
      <c r="AI121">
        <v>851.1999999999999</v>
      </c>
      <c r="AJ121">
        <v>326.25</v>
      </c>
      <c r="AK121">
        <v>277.704</v>
      </c>
      <c r="AM121">
        <v>851.1999999999999</v>
      </c>
      <c r="AN121">
        <v>326.25</v>
      </c>
      <c r="AO121">
        <v>277.704</v>
      </c>
      <c r="AQ121">
        <v>851.1999999999999</v>
      </c>
      <c r="AR121">
        <v>326.25</v>
      </c>
      <c r="AS121">
        <v>277.704</v>
      </c>
      <c r="AU121">
        <v>851.1999999999999</v>
      </c>
      <c r="AV121">
        <v>326.25</v>
      </c>
      <c r="AW121">
        <v>277.704</v>
      </c>
    </row>
    <row r="122" spans="1:49" ht="15.75" hidden="1">
      <c r="A122" s="39"/>
      <c r="B122" s="100"/>
      <c r="C122" s="48"/>
      <c r="D122" s="48"/>
      <c r="E122" s="48"/>
      <c r="F122" s="48"/>
      <c r="G122" s="48"/>
      <c r="H122" s="48"/>
      <c r="I122" s="48"/>
      <c r="J122" s="48"/>
      <c r="K122" s="325"/>
      <c r="L122" s="48"/>
      <c r="M122" s="140"/>
      <c r="N122" t="s">
        <v>267</v>
      </c>
      <c r="O122" s="102">
        <v>200</v>
      </c>
      <c r="P122">
        <v>474.38</v>
      </c>
      <c r="Q122">
        <v>94.876</v>
      </c>
      <c r="S122" s="102">
        <v>283.7333333333333</v>
      </c>
      <c r="T122">
        <v>474.38</v>
      </c>
      <c r="U122">
        <v>134.59741866666664</v>
      </c>
      <c r="W122" s="102">
        <v>283.7333333333333</v>
      </c>
      <c r="X122">
        <v>474.38</v>
      </c>
      <c r="Y122">
        <v>134.59741866666664</v>
      </c>
      <c r="AA122" s="102">
        <v>283.7333333333333</v>
      </c>
      <c r="AB122">
        <v>326.25</v>
      </c>
      <c r="AC122">
        <v>92.56799999999998</v>
      </c>
      <c r="AE122">
        <v>283.7333333333333</v>
      </c>
      <c r="AF122">
        <v>326.25</v>
      </c>
      <c r="AG122">
        <v>92.56799999999998</v>
      </c>
      <c r="AI122">
        <v>283.7333333333333</v>
      </c>
      <c r="AJ122">
        <v>326.25</v>
      </c>
      <c r="AK122">
        <v>92.56799999999998</v>
      </c>
      <c r="AM122">
        <v>283.7333333333333</v>
      </c>
      <c r="AN122">
        <v>326.25</v>
      </c>
      <c r="AO122">
        <v>92.56799999999998</v>
      </c>
      <c r="AQ122">
        <v>283.7333333333333</v>
      </c>
      <c r="AR122">
        <v>326.25</v>
      </c>
      <c r="AS122">
        <v>92.56799999999998</v>
      </c>
      <c r="AU122">
        <v>283.7333333333333</v>
      </c>
      <c r="AV122">
        <v>326.25</v>
      </c>
      <c r="AW122">
        <v>92.56799999999998</v>
      </c>
    </row>
    <row r="123" spans="1:49" ht="15.75" hidden="1">
      <c r="A123" s="39"/>
      <c r="B123" s="89"/>
      <c r="C123" s="90"/>
      <c r="D123" s="90"/>
      <c r="E123" s="90"/>
      <c r="F123" s="90"/>
      <c r="G123" s="90"/>
      <c r="H123" s="90"/>
      <c r="I123" s="90"/>
      <c r="J123" s="90"/>
      <c r="K123" s="337"/>
      <c r="L123" s="90"/>
      <c r="M123" s="140"/>
      <c r="N123" t="s">
        <v>268</v>
      </c>
      <c r="O123" s="102">
        <v>93.75</v>
      </c>
      <c r="P123">
        <v>474.38</v>
      </c>
      <c r="Q123">
        <v>44.473125</v>
      </c>
      <c r="S123" s="102">
        <v>133</v>
      </c>
      <c r="T123">
        <v>474.38</v>
      </c>
      <c r="U123">
        <v>63.09254</v>
      </c>
      <c r="W123" s="102">
        <v>133</v>
      </c>
      <c r="X123">
        <v>474.38</v>
      </c>
      <c r="Y123">
        <v>63.09254</v>
      </c>
      <c r="AA123" s="102">
        <v>133</v>
      </c>
      <c r="AB123">
        <v>474.38</v>
      </c>
      <c r="AC123">
        <v>63.09254</v>
      </c>
      <c r="AE123">
        <v>133</v>
      </c>
      <c r="AF123">
        <v>326.25</v>
      </c>
      <c r="AG123">
        <v>43.39125</v>
      </c>
      <c r="AI123">
        <v>133</v>
      </c>
      <c r="AJ123">
        <v>326.25</v>
      </c>
      <c r="AK123">
        <v>43.39125</v>
      </c>
      <c r="AM123">
        <v>133</v>
      </c>
      <c r="AN123">
        <v>326.25</v>
      </c>
      <c r="AO123">
        <v>43.39125</v>
      </c>
      <c r="AQ123">
        <v>133</v>
      </c>
      <c r="AR123">
        <v>326.25</v>
      </c>
      <c r="AS123">
        <v>43.39125</v>
      </c>
      <c r="AU123">
        <v>133</v>
      </c>
      <c r="AV123">
        <v>326.25</v>
      </c>
      <c r="AW123">
        <v>43.39125</v>
      </c>
    </row>
    <row r="124" spans="1:49" ht="15.75" hidden="1">
      <c r="A124" s="39"/>
      <c r="B124" s="89"/>
      <c r="C124" s="90"/>
      <c r="D124" s="90"/>
      <c r="E124" s="90"/>
      <c r="F124" s="90"/>
      <c r="G124" s="90"/>
      <c r="H124" s="90"/>
      <c r="I124" s="90"/>
      <c r="J124" s="90"/>
      <c r="K124" s="337"/>
      <c r="L124" s="90"/>
      <c r="M124" s="140"/>
      <c r="O124" s="151">
        <v>1443.75</v>
      </c>
      <c r="P124">
        <v>388.54658008658004</v>
      </c>
      <c r="Q124">
        <v>560.964125</v>
      </c>
      <c r="R124" s="151"/>
      <c r="S124" s="151">
        <v>2048.2</v>
      </c>
      <c r="T124">
        <v>388.54658008658004</v>
      </c>
      <c r="U124">
        <v>795.8211053333332</v>
      </c>
      <c r="V124" s="151"/>
      <c r="W124" s="151">
        <v>2048.2</v>
      </c>
      <c r="X124">
        <v>356.3890043290043</v>
      </c>
      <c r="Y124">
        <v>729.9559586666666</v>
      </c>
      <c r="AA124" s="151">
        <v>2048.2</v>
      </c>
      <c r="AB124">
        <v>335.86883116883115</v>
      </c>
      <c r="AC124">
        <v>687.9265399999999</v>
      </c>
      <c r="AE124">
        <v>2048.2</v>
      </c>
      <c r="AF124">
        <v>326.25</v>
      </c>
      <c r="AG124">
        <v>668.22525</v>
      </c>
      <c r="AI124">
        <v>2048.2</v>
      </c>
      <c r="AJ124">
        <v>326.25</v>
      </c>
      <c r="AK124">
        <v>668.22525</v>
      </c>
      <c r="AM124">
        <v>2048.2</v>
      </c>
      <c r="AN124">
        <v>326.25</v>
      </c>
      <c r="AO124">
        <v>668.22525</v>
      </c>
      <c r="AQ124">
        <v>2048.2</v>
      </c>
      <c r="AR124">
        <v>326.25</v>
      </c>
      <c r="AS124">
        <v>668.22525</v>
      </c>
      <c r="AU124">
        <v>2048.2</v>
      </c>
      <c r="AV124">
        <v>326.25</v>
      </c>
      <c r="AW124">
        <v>668.22525</v>
      </c>
    </row>
    <row r="125" spans="1:49" ht="15.75" hidden="1">
      <c r="A125" s="39"/>
      <c r="B125" s="89"/>
      <c r="C125" s="90"/>
      <c r="D125" s="90"/>
      <c r="E125" s="90"/>
      <c r="F125" s="90"/>
      <c r="G125" s="90"/>
      <c r="H125" s="90"/>
      <c r="I125" s="90"/>
      <c r="J125" s="90"/>
      <c r="K125" s="337"/>
      <c r="L125" s="90"/>
      <c r="M125" s="140"/>
      <c r="U125">
        <v>548.8421416091953</v>
      </c>
      <c r="Y125">
        <v>503.41790252873557</v>
      </c>
      <c r="AC125">
        <v>474.4320965517241</v>
      </c>
      <c r="AG125">
        <v>460.84499999999997</v>
      </c>
      <c r="AK125">
        <v>460.84499999999997</v>
      </c>
      <c r="AO125">
        <v>460.84499999999997</v>
      </c>
      <c r="AS125">
        <v>460.84499999999997</v>
      </c>
      <c r="AW125">
        <v>460.84499999999997</v>
      </c>
    </row>
    <row r="126" spans="1:49" ht="15.75" hidden="1">
      <c r="A126" s="39"/>
      <c r="B126" s="89"/>
      <c r="C126" s="96"/>
      <c r="D126" s="96"/>
      <c r="E126" s="96"/>
      <c r="F126" s="96"/>
      <c r="G126" s="96"/>
      <c r="H126" s="96"/>
      <c r="I126" s="96"/>
      <c r="J126" s="96"/>
      <c r="K126" s="338"/>
      <c r="L126" s="96"/>
      <c r="M126" s="140"/>
      <c r="U126" s="90">
        <v>22913.80523400974</v>
      </c>
      <c r="Y126">
        <v>22936.25868074959</v>
      </c>
      <c r="AC126">
        <v>23589.141737227303</v>
      </c>
      <c r="AG126">
        <v>25005.590371520135</v>
      </c>
      <c r="AK126">
        <v>27288.600772439924</v>
      </c>
      <c r="AO126">
        <v>29780.05002296369</v>
      </c>
      <c r="AS126">
        <v>32498.968590060264</v>
      </c>
      <c r="AW126">
        <v>35466.12442233277</v>
      </c>
    </row>
    <row r="127" spans="1:49" ht="15.75" hidden="1">
      <c r="A127" s="39"/>
      <c r="B127" s="89"/>
      <c r="C127" s="90"/>
      <c r="D127" s="90"/>
      <c r="E127" s="90"/>
      <c r="F127" s="90"/>
      <c r="G127" s="90"/>
      <c r="H127" s="90"/>
      <c r="I127" s="90"/>
      <c r="J127" s="90"/>
      <c r="K127" s="337"/>
      <c r="L127" s="90"/>
      <c r="M127" s="140"/>
      <c r="U127" s="151">
        <v>-3.1503391213773284</v>
      </c>
      <c r="Y127" s="151">
        <v>-2073.0149362083903</v>
      </c>
      <c r="AC127" s="151">
        <v>-3703.4785609589453</v>
      </c>
      <c r="AG127" s="151">
        <v>-4778.846159890516</v>
      </c>
      <c r="AK127" s="151">
        <v>-5215.1548142885185</v>
      </c>
      <c r="AO127" s="151">
        <v>-5691.298448833062</v>
      </c>
      <c r="AS127" s="151">
        <v>-6210.913997211523</v>
      </c>
      <c r="AW127" s="151">
        <v>-6777.970445156927</v>
      </c>
    </row>
    <row r="128" spans="1:13" ht="15.75" hidden="1">
      <c r="A128" s="39"/>
      <c r="B128" s="89"/>
      <c r="C128" s="90"/>
      <c r="D128" s="90"/>
      <c r="E128" s="90"/>
      <c r="F128" s="90"/>
      <c r="G128" s="90"/>
      <c r="H128" s="90"/>
      <c r="I128" s="90"/>
      <c r="J128" s="90"/>
      <c r="K128" s="337"/>
      <c r="L128" s="90"/>
      <c r="M128" s="140"/>
    </row>
    <row r="129" spans="1:13" ht="15.75" hidden="1">
      <c r="A129" s="39"/>
      <c r="B129" s="89"/>
      <c r="C129" s="90"/>
      <c r="D129" s="98"/>
      <c r="E129" s="98"/>
      <c r="F129" s="98"/>
      <c r="G129" s="98"/>
      <c r="H129" s="98"/>
      <c r="I129" s="98"/>
      <c r="J129" s="98"/>
      <c r="K129" s="336"/>
      <c r="L129" s="98"/>
      <c r="M129" s="140"/>
    </row>
    <row r="130" spans="1:13" ht="15.75" hidden="1">
      <c r="A130" s="39"/>
      <c r="B130" s="89"/>
      <c r="C130" s="90"/>
      <c r="D130" s="90"/>
      <c r="E130" s="90"/>
      <c r="F130" s="90"/>
      <c r="G130" s="90"/>
      <c r="H130" s="90"/>
      <c r="I130" s="90"/>
      <c r="J130" s="90"/>
      <c r="K130" s="337"/>
      <c r="L130" s="90"/>
      <c r="M130" s="140"/>
    </row>
    <row r="131" spans="1:13" ht="15.75" hidden="1">
      <c r="A131" s="39"/>
      <c r="B131" s="89"/>
      <c r="C131" s="48"/>
      <c r="D131" s="48"/>
      <c r="E131" s="48"/>
      <c r="F131" s="48"/>
      <c r="G131" s="48"/>
      <c r="H131" s="48"/>
      <c r="I131" s="48"/>
      <c r="J131" s="48"/>
      <c r="K131" s="325"/>
      <c r="L131" s="48"/>
      <c r="M131" s="140"/>
    </row>
    <row r="132" spans="1:13" ht="15.75" hidden="1">
      <c r="A132" s="39"/>
      <c r="B132" s="89"/>
      <c r="C132" s="48"/>
      <c r="D132" s="97"/>
      <c r="E132" s="97"/>
      <c r="F132" s="97"/>
      <c r="G132" s="97"/>
      <c r="H132" s="97"/>
      <c r="I132" s="97"/>
      <c r="J132" s="97"/>
      <c r="K132" s="339"/>
      <c r="L132" s="97"/>
      <c r="M132" s="140"/>
    </row>
    <row r="133" spans="1:13" ht="15.75" hidden="1">
      <c r="A133" s="39"/>
      <c r="B133" s="89"/>
      <c r="C133" s="48"/>
      <c r="D133" s="98"/>
      <c r="E133" s="98"/>
      <c r="F133" s="98"/>
      <c r="G133" s="98"/>
      <c r="H133" s="98"/>
      <c r="I133" s="98"/>
      <c r="J133" s="98"/>
      <c r="K133" s="336"/>
      <c r="L133" s="98"/>
      <c r="M133" s="140"/>
    </row>
    <row r="134" spans="1:10" ht="15.75" hidden="1">
      <c r="A134" s="272"/>
      <c r="B134" s="25"/>
      <c r="C134" s="192"/>
      <c r="D134" s="192"/>
      <c r="E134" s="192"/>
      <c r="F134" s="192"/>
      <c r="G134" s="251"/>
      <c r="H134" s="251"/>
      <c r="I134" s="251"/>
      <c r="J134" s="346"/>
    </row>
    <row r="135" spans="1:12" ht="15.75" hidden="1">
      <c r="A135" s="272"/>
      <c r="B135" s="25"/>
      <c r="C135" s="261">
        <v>11363</v>
      </c>
      <c r="D135" s="261">
        <v>12736</v>
      </c>
      <c r="E135" s="261">
        <v>12600</v>
      </c>
      <c r="F135" s="261">
        <v>12600</v>
      </c>
      <c r="G135" s="261"/>
      <c r="H135" s="261"/>
      <c r="I135" s="261"/>
      <c r="J135" s="347"/>
      <c r="K135" s="88"/>
      <c r="L135" s="88"/>
    </row>
    <row r="136" spans="1:10" ht="15.75" hidden="1">
      <c r="A136" s="272"/>
      <c r="B136" s="87"/>
      <c r="C136" s="192"/>
      <c r="D136" s="192"/>
      <c r="E136" s="192"/>
      <c r="F136" s="192"/>
      <c r="G136" s="251"/>
      <c r="H136" s="251"/>
      <c r="I136" s="251"/>
      <c r="J136" s="346"/>
    </row>
    <row r="137" spans="1:10" ht="31.5" customHeight="1" hidden="1">
      <c r="A137" s="272"/>
      <c r="B137" s="25"/>
      <c r="C137" s="192"/>
      <c r="D137" s="192"/>
      <c r="E137" s="192"/>
      <c r="F137" s="192"/>
      <c r="G137" s="251"/>
      <c r="H137" s="251"/>
      <c r="I137" s="251"/>
      <c r="J137" s="346"/>
    </row>
    <row r="138" spans="1:13" ht="15.75" hidden="1">
      <c r="A138" s="272"/>
      <c r="B138" s="25"/>
      <c r="C138" s="192"/>
      <c r="D138" s="261"/>
      <c r="E138" s="192"/>
      <c r="F138" s="192"/>
      <c r="G138" s="251"/>
      <c r="H138" s="251"/>
      <c r="I138" s="251"/>
      <c r="J138" s="346"/>
      <c r="M138" s="102"/>
    </row>
    <row r="139" spans="1:14" ht="15.75">
      <c r="A139" s="82" t="s">
        <v>165</v>
      </c>
      <c r="B139" s="74" t="s">
        <v>170</v>
      </c>
      <c r="C139" s="7"/>
      <c r="D139" s="82"/>
      <c r="E139" s="82"/>
      <c r="F139" s="82"/>
      <c r="G139" s="82"/>
      <c r="H139" s="82"/>
      <c r="I139" s="82"/>
      <c r="J139" s="82"/>
      <c r="K139" s="329"/>
      <c r="L139" s="82"/>
      <c r="M139" s="135"/>
      <c r="N139" s="72"/>
    </row>
    <row r="140" spans="1:14" ht="15.75">
      <c r="A140" s="82"/>
      <c r="B140" s="73" t="s">
        <v>171</v>
      </c>
      <c r="C140" s="84"/>
      <c r="D140" s="85"/>
      <c r="E140" s="85"/>
      <c r="F140" s="85"/>
      <c r="G140" s="85"/>
      <c r="H140" s="85"/>
      <c r="I140" s="85"/>
      <c r="J140" s="85"/>
      <c r="K140" s="326"/>
      <c r="L140" s="85"/>
      <c r="M140" s="135"/>
      <c r="N140" s="72"/>
    </row>
    <row r="141" spans="1:14" s="32" customFormat="1" ht="15.75">
      <c r="A141" s="82" t="s">
        <v>66</v>
      </c>
      <c r="B141" s="74" t="s">
        <v>172</v>
      </c>
      <c r="C141" s="7"/>
      <c r="D141" s="106">
        <v>0</v>
      </c>
      <c r="E141" s="106">
        <v>132825</v>
      </c>
      <c r="F141" s="106"/>
      <c r="G141" s="106"/>
      <c r="H141" s="145">
        <f aca="true" t="shared" si="5" ref="H141:M141">H144+H147</f>
        <v>0</v>
      </c>
      <c r="I141" s="145">
        <f t="shared" si="5"/>
        <v>27709.208623000002</v>
      </c>
      <c r="J141" s="145">
        <f t="shared" si="5"/>
        <v>0</v>
      </c>
      <c r="K141" s="340">
        <f t="shared" si="5"/>
        <v>0</v>
      </c>
      <c r="L141" s="145">
        <f t="shared" si="5"/>
        <v>0</v>
      </c>
      <c r="M141" s="145">
        <f t="shared" si="5"/>
        <v>0</v>
      </c>
      <c r="N141" s="144"/>
    </row>
    <row r="142" spans="1:14" ht="15.75">
      <c r="A142" s="85"/>
      <c r="B142" s="167" t="s">
        <v>281</v>
      </c>
      <c r="C142" s="84"/>
      <c r="D142" s="175">
        <v>0</v>
      </c>
      <c r="E142" s="175">
        <v>88393.75</v>
      </c>
      <c r="F142" s="175"/>
      <c r="G142" s="175"/>
      <c r="H142" s="316" t="e">
        <f aca="true" t="shared" si="6" ref="H142:J143">H145+H148</f>
        <v>#REF!</v>
      </c>
      <c r="I142" s="316">
        <f t="shared" si="6"/>
        <v>0</v>
      </c>
      <c r="J142" s="316">
        <f t="shared" si="6"/>
        <v>0</v>
      </c>
      <c r="K142" s="341"/>
      <c r="L142" s="175"/>
      <c r="M142" s="175"/>
      <c r="N142" s="72"/>
    </row>
    <row r="143" spans="1:14" ht="15.75">
      <c r="A143" s="85"/>
      <c r="B143" s="167" t="s">
        <v>282</v>
      </c>
      <c r="C143" s="84"/>
      <c r="D143" s="175">
        <v>0</v>
      </c>
      <c r="E143" s="175">
        <v>44431.25</v>
      </c>
      <c r="F143" s="175"/>
      <c r="G143" s="175"/>
      <c r="H143" s="316">
        <f t="shared" si="6"/>
        <v>0</v>
      </c>
      <c r="I143" s="316">
        <f t="shared" si="6"/>
        <v>27709.208623000002</v>
      </c>
      <c r="J143" s="316">
        <f t="shared" si="6"/>
        <v>0</v>
      </c>
      <c r="K143" s="341"/>
      <c r="L143" s="175"/>
      <c r="M143" s="175"/>
      <c r="N143" s="72"/>
    </row>
    <row r="144" spans="1:14" ht="15.75">
      <c r="A144" s="85" t="s">
        <v>22</v>
      </c>
      <c r="B144" s="73" t="s">
        <v>244</v>
      </c>
      <c r="C144" s="84"/>
      <c r="D144" s="154">
        <v>0</v>
      </c>
      <c r="E144" s="154">
        <v>106260</v>
      </c>
      <c r="F144" s="154"/>
      <c r="G144" s="154"/>
      <c r="H144" s="105">
        <f>'приложение 4.2 2013-2017 свод'!F19</f>
        <v>0</v>
      </c>
      <c r="I144" s="105">
        <f>'приложение 4.2 2013-2017 свод'!G19</f>
        <v>24094.964020000003</v>
      </c>
      <c r="J144" s="105">
        <f>'приложение 4.2 2013-2017 свод'!H19</f>
        <v>0</v>
      </c>
      <c r="K144" s="342"/>
      <c r="L144" s="154"/>
      <c r="M144" s="154"/>
      <c r="N144" s="134">
        <v>106260</v>
      </c>
    </row>
    <row r="145" spans="1:14" ht="15.75">
      <c r="A145" s="85"/>
      <c r="B145" s="167" t="s">
        <v>281</v>
      </c>
      <c r="C145" s="84"/>
      <c r="D145" s="175">
        <v>0</v>
      </c>
      <c r="E145" s="175">
        <v>70715</v>
      </c>
      <c r="F145" s="175"/>
      <c r="G145" s="175"/>
      <c r="H145" s="175" t="e">
        <f>'приложение 4.2 2016-2017 ген'!E21</f>
        <v>#REF!</v>
      </c>
      <c r="I145" s="175">
        <f>'приложение 4.2 2016-2017 ген'!F21</f>
        <v>0</v>
      </c>
      <c r="J145" s="175"/>
      <c r="K145" s="341"/>
      <c r="L145" s="175"/>
      <c r="M145" s="175"/>
      <c r="N145" s="134"/>
    </row>
    <row r="146" spans="1:14" ht="15.75">
      <c r="A146" s="85"/>
      <c r="B146" s="167" t="s">
        <v>282</v>
      </c>
      <c r="C146" s="84"/>
      <c r="D146" s="175">
        <v>0</v>
      </c>
      <c r="E146" s="175">
        <v>35545</v>
      </c>
      <c r="F146" s="175"/>
      <c r="G146" s="175"/>
      <c r="H146" s="175">
        <f>'приложение 4.2 2016-2017 тр'!E20</f>
        <v>0</v>
      </c>
      <c r="I146" s="175">
        <f>'приложение 4.2 2016-2017 тр'!F20</f>
        <v>24094.964020000003</v>
      </c>
      <c r="J146" s="175">
        <f>J144</f>
        <v>0</v>
      </c>
      <c r="K146" s="341"/>
      <c r="L146" s="175"/>
      <c r="M146" s="175"/>
      <c r="N146" s="134"/>
    </row>
    <row r="147" spans="1:14" ht="15.75">
      <c r="A147" s="85" t="s">
        <v>24</v>
      </c>
      <c r="B147" s="73" t="s">
        <v>148</v>
      </c>
      <c r="C147" s="84"/>
      <c r="D147" s="105">
        <v>0</v>
      </c>
      <c r="E147" s="105">
        <v>26565</v>
      </c>
      <c r="F147" s="105"/>
      <c r="G147" s="105"/>
      <c r="H147" s="105">
        <f aca="true" t="shared" si="7" ref="H147:J149">H144*0.15</f>
        <v>0</v>
      </c>
      <c r="I147" s="105">
        <f t="shared" si="7"/>
        <v>3614.2446030000006</v>
      </c>
      <c r="J147" s="105">
        <f t="shared" si="7"/>
        <v>0</v>
      </c>
      <c r="K147" s="328"/>
      <c r="L147" s="105"/>
      <c r="M147" s="105"/>
      <c r="N147" s="134">
        <v>26565</v>
      </c>
    </row>
    <row r="148" spans="1:14" ht="15.75">
      <c r="A148" s="85"/>
      <c r="B148" s="167" t="s">
        <v>281</v>
      </c>
      <c r="C148" s="84"/>
      <c r="D148" s="175">
        <v>0</v>
      </c>
      <c r="E148" s="175">
        <v>17678.75</v>
      </c>
      <c r="F148" s="175"/>
      <c r="G148" s="175"/>
      <c r="H148" s="175" t="e">
        <f t="shared" si="7"/>
        <v>#REF!</v>
      </c>
      <c r="I148" s="175">
        <f t="shared" si="7"/>
        <v>0</v>
      </c>
      <c r="J148" s="175">
        <f t="shared" si="7"/>
        <v>0</v>
      </c>
      <c r="K148" s="341"/>
      <c r="L148" s="175"/>
      <c r="M148" s="175"/>
      <c r="N148" s="134">
        <v>132825</v>
      </c>
    </row>
    <row r="149" spans="1:14" ht="15.75">
      <c r="A149" s="85"/>
      <c r="B149" s="167" t="s">
        <v>282</v>
      </c>
      <c r="C149" s="84"/>
      <c r="D149" s="175">
        <v>0</v>
      </c>
      <c r="E149" s="175">
        <v>8886.25</v>
      </c>
      <c r="F149" s="175"/>
      <c r="G149" s="175"/>
      <c r="H149" s="175">
        <f t="shared" si="7"/>
        <v>0</v>
      </c>
      <c r="I149" s="175">
        <f t="shared" si="7"/>
        <v>3614.2446030000006</v>
      </c>
      <c r="J149" s="175">
        <f t="shared" si="7"/>
        <v>0</v>
      </c>
      <c r="K149" s="341"/>
      <c r="L149" s="175"/>
      <c r="M149" s="175"/>
      <c r="N149" s="134"/>
    </row>
    <row r="150" spans="1:14" ht="15.75">
      <c r="A150" s="85" t="s">
        <v>29</v>
      </c>
      <c r="B150" s="73" t="s">
        <v>174</v>
      </c>
      <c r="C150" s="84"/>
      <c r="D150" s="82"/>
      <c r="E150" s="82"/>
      <c r="F150" s="82"/>
      <c r="G150" s="82"/>
      <c r="H150" s="82"/>
      <c r="I150" s="82"/>
      <c r="J150" s="82"/>
      <c r="K150" s="329"/>
      <c r="L150" s="82"/>
      <c r="M150" s="135"/>
      <c r="N150" s="72"/>
    </row>
    <row r="151" spans="1:14" ht="15.75">
      <c r="A151" s="82" t="s">
        <v>169</v>
      </c>
      <c r="B151" s="74" t="s">
        <v>175</v>
      </c>
      <c r="C151" s="7"/>
      <c r="D151" s="85"/>
      <c r="E151" s="85"/>
      <c r="F151" s="85"/>
      <c r="G151" s="85"/>
      <c r="H151" s="85"/>
      <c r="I151" s="105">
        <f>I153</f>
        <v>0</v>
      </c>
      <c r="J151" s="105">
        <f>J153</f>
        <v>27709.208623000002</v>
      </c>
      <c r="K151" s="326"/>
      <c r="L151" s="85"/>
      <c r="M151" s="135"/>
      <c r="N151" s="72"/>
    </row>
    <row r="152" spans="1:14" ht="15.75">
      <c r="A152" s="82"/>
      <c r="B152" s="73" t="s">
        <v>176</v>
      </c>
      <c r="C152" s="84"/>
      <c r="D152" s="85"/>
      <c r="E152" s="85"/>
      <c r="F152" s="85"/>
      <c r="G152" s="85"/>
      <c r="H152" s="85"/>
      <c r="I152" s="85"/>
      <c r="J152" s="85"/>
      <c r="K152" s="326"/>
      <c r="L152" s="85"/>
      <c r="M152" s="135"/>
      <c r="N152" s="72"/>
    </row>
    <row r="153" spans="1:14" ht="15.75">
      <c r="A153" s="85" t="s">
        <v>66</v>
      </c>
      <c r="B153" s="73" t="s">
        <v>177</v>
      </c>
      <c r="C153" s="84"/>
      <c r="D153" s="82"/>
      <c r="E153" s="106"/>
      <c r="F153" s="106">
        <v>16603.125</v>
      </c>
      <c r="G153" s="106"/>
      <c r="H153" s="106"/>
      <c r="I153" s="106">
        <f aca="true" t="shared" si="8" ref="I153:J155">I156</f>
        <v>0</v>
      </c>
      <c r="J153" s="106">
        <f t="shared" si="8"/>
        <v>27709.208623000002</v>
      </c>
      <c r="K153" s="327">
        <v>16603.125</v>
      </c>
      <c r="L153" s="106">
        <v>16603.125</v>
      </c>
      <c r="M153" s="106">
        <v>16603.125</v>
      </c>
      <c r="N153" s="134">
        <v>132825</v>
      </c>
    </row>
    <row r="154" spans="1:14" ht="15.75">
      <c r="A154" s="85"/>
      <c r="B154" s="167" t="s">
        <v>281</v>
      </c>
      <c r="C154" s="84"/>
      <c r="D154" s="82"/>
      <c r="E154" s="105"/>
      <c r="F154" s="105">
        <v>11049.21875</v>
      </c>
      <c r="G154" s="105"/>
      <c r="H154" s="105"/>
      <c r="I154" s="105" t="e">
        <f t="shared" si="8"/>
        <v>#REF!</v>
      </c>
      <c r="J154" s="105">
        <f t="shared" si="8"/>
        <v>0</v>
      </c>
      <c r="K154" s="328">
        <v>11049.21875</v>
      </c>
      <c r="L154" s="105">
        <v>11049.21875</v>
      </c>
      <c r="M154" s="105">
        <v>11049.21875</v>
      </c>
      <c r="N154" s="72"/>
    </row>
    <row r="155" spans="1:14" ht="15.75">
      <c r="A155" s="85"/>
      <c r="B155" s="167" t="s">
        <v>282</v>
      </c>
      <c r="C155" s="84"/>
      <c r="D155" s="82"/>
      <c r="E155" s="105"/>
      <c r="F155" s="105">
        <v>5553.90625</v>
      </c>
      <c r="G155" s="105"/>
      <c r="H155" s="105"/>
      <c r="I155" s="105">
        <f t="shared" si="8"/>
        <v>0</v>
      </c>
      <c r="J155" s="105">
        <f t="shared" si="8"/>
        <v>27709.208623000002</v>
      </c>
      <c r="K155" s="328">
        <v>5553.90625</v>
      </c>
      <c r="L155" s="105">
        <v>5553.90625</v>
      </c>
      <c r="M155" s="105">
        <v>5553.90625</v>
      </c>
      <c r="N155" s="72"/>
    </row>
    <row r="156" spans="1:14" ht="15.75">
      <c r="A156" s="85" t="s">
        <v>22</v>
      </c>
      <c r="B156" s="73" t="s">
        <v>292</v>
      </c>
      <c r="C156" s="84"/>
      <c r="D156" s="82"/>
      <c r="E156" s="85"/>
      <c r="F156" s="105">
        <v>16603.125</v>
      </c>
      <c r="G156" s="105"/>
      <c r="H156" s="105"/>
      <c r="I156" s="105">
        <f aca="true" t="shared" si="9" ref="I156:J158">H141</f>
        <v>0</v>
      </c>
      <c r="J156" s="105">
        <f t="shared" si="9"/>
        <v>27709.208623000002</v>
      </c>
      <c r="K156" s="328">
        <v>16603.125</v>
      </c>
      <c r="L156" s="105">
        <v>16603.125</v>
      </c>
      <c r="M156" s="105">
        <v>16603.125</v>
      </c>
      <c r="N156" s="134">
        <v>99618.75</v>
      </c>
    </row>
    <row r="157" spans="1:14" ht="15.75">
      <c r="A157" s="85"/>
      <c r="B157" s="167" t="s">
        <v>281</v>
      </c>
      <c r="C157" s="84"/>
      <c r="D157" s="82"/>
      <c r="E157" s="85"/>
      <c r="F157" s="105">
        <v>11049.21875</v>
      </c>
      <c r="G157" s="105"/>
      <c r="H157" s="105"/>
      <c r="I157" s="105" t="e">
        <f t="shared" si="9"/>
        <v>#REF!</v>
      </c>
      <c r="J157" s="105">
        <f t="shared" si="9"/>
        <v>0</v>
      </c>
      <c r="K157" s="328">
        <v>11049.21875</v>
      </c>
      <c r="L157" s="105">
        <v>11049.21875</v>
      </c>
      <c r="M157" s="105">
        <v>11049.21875</v>
      </c>
      <c r="N157" s="134"/>
    </row>
    <row r="158" spans="1:14" ht="15.75">
      <c r="A158" s="85"/>
      <c r="B158" s="167" t="s">
        <v>282</v>
      </c>
      <c r="C158" s="84"/>
      <c r="D158" s="82"/>
      <c r="E158" s="85"/>
      <c r="F158" s="105">
        <v>5553.90625</v>
      </c>
      <c r="G158" s="105"/>
      <c r="H158" s="105"/>
      <c r="I158" s="105">
        <f t="shared" si="9"/>
        <v>0</v>
      </c>
      <c r="J158" s="105">
        <f t="shared" si="9"/>
        <v>27709.208623000002</v>
      </c>
      <c r="K158" s="328">
        <v>5553.90625</v>
      </c>
      <c r="L158" s="105">
        <v>5553.90625</v>
      </c>
      <c r="M158" s="105">
        <v>5553.90625</v>
      </c>
      <c r="N158" s="134"/>
    </row>
    <row r="159" spans="1:14" ht="31.5" hidden="1">
      <c r="A159" s="177" t="s">
        <v>24</v>
      </c>
      <c r="B159" s="73" t="s">
        <v>274</v>
      </c>
      <c r="C159" s="84"/>
      <c r="D159" s="82"/>
      <c r="E159" s="105"/>
      <c r="F159" s="105">
        <v>2361</v>
      </c>
      <c r="G159" s="105"/>
      <c r="H159" s="105"/>
      <c r="I159" s="105"/>
      <c r="J159" s="105"/>
      <c r="K159" s="328">
        <v>3863.432272</v>
      </c>
      <c r="L159" s="105">
        <v>3755.160326688</v>
      </c>
      <c r="M159" s="105">
        <v>3548.737687763264</v>
      </c>
      <c r="N159" s="134">
        <v>28962.851886451263</v>
      </c>
    </row>
    <row r="160" spans="1:14" ht="15.75" hidden="1">
      <c r="A160" s="85"/>
      <c r="B160" s="167" t="s">
        <v>281</v>
      </c>
      <c r="C160" s="84"/>
      <c r="D160" s="82"/>
      <c r="E160" s="154"/>
      <c r="F160" s="105">
        <v>2131</v>
      </c>
      <c r="G160" s="105"/>
      <c r="H160" s="105"/>
      <c r="I160" s="105"/>
      <c r="J160" s="105"/>
      <c r="K160" s="328">
        <v>2726.120656</v>
      </c>
      <c r="L160" s="105">
        <v>2557.101175328</v>
      </c>
      <c r="M160" s="105">
        <v>2398.5609024576643</v>
      </c>
      <c r="N160" s="134"/>
    </row>
    <row r="161" spans="1:14" ht="15.75" hidden="1">
      <c r="A161" s="85"/>
      <c r="B161" s="167" t="s">
        <v>282</v>
      </c>
      <c r="C161" s="84"/>
      <c r="D161" s="82"/>
      <c r="E161" s="105"/>
      <c r="F161" s="105">
        <v>230</v>
      </c>
      <c r="G161" s="105"/>
      <c r="H161" s="105"/>
      <c r="I161" s="105"/>
      <c r="J161" s="105"/>
      <c r="K161" s="328">
        <v>1137.311616</v>
      </c>
      <c r="L161" s="105">
        <v>1198.05915136</v>
      </c>
      <c r="M161" s="105">
        <v>1150.1767853056</v>
      </c>
      <c r="N161" s="134"/>
    </row>
    <row r="162" spans="1:14" ht="15.75" hidden="1">
      <c r="A162" s="85" t="s">
        <v>24</v>
      </c>
      <c r="B162" s="73" t="s">
        <v>247</v>
      </c>
      <c r="C162" s="84"/>
      <c r="D162" s="82"/>
      <c r="E162" s="105"/>
      <c r="F162" s="105">
        <v>0</v>
      </c>
      <c r="G162" s="105"/>
      <c r="H162" s="105"/>
      <c r="I162" s="105"/>
      <c r="J162" s="105"/>
      <c r="K162" s="328">
        <v>0</v>
      </c>
      <c r="L162" s="105">
        <v>0</v>
      </c>
      <c r="M162" s="105">
        <v>0</v>
      </c>
      <c r="N162" s="134">
        <v>0</v>
      </c>
    </row>
    <row r="163" spans="1:14" ht="15.75" hidden="1">
      <c r="A163" s="85"/>
      <c r="B163" s="167" t="s">
        <v>281</v>
      </c>
      <c r="C163" s="84"/>
      <c r="D163" s="82"/>
      <c r="E163" s="175"/>
      <c r="F163" s="175"/>
      <c r="G163" s="175"/>
      <c r="H163" s="175"/>
      <c r="I163" s="175"/>
      <c r="J163" s="175"/>
      <c r="K163" s="341"/>
      <c r="L163" s="175"/>
      <c r="M163" s="175"/>
      <c r="N163" s="134"/>
    </row>
    <row r="164" spans="1:14" ht="15.75" hidden="1">
      <c r="A164" s="85"/>
      <c r="B164" s="167" t="s">
        <v>282</v>
      </c>
      <c r="C164" s="84"/>
      <c r="D164" s="82"/>
      <c r="E164" s="175"/>
      <c r="F164" s="175"/>
      <c r="G164" s="175"/>
      <c r="H164" s="175"/>
      <c r="I164" s="175"/>
      <c r="J164" s="175"/>
      <c r="K164" s="341"/>
      <c r="L164" s="175"/>
      <c r="M164" s="175"/>
      <c r="N164" s="134"/>
    </row>
    <row r="165" spans="1:10" ht="15.75" hidden="1">
      <c r="A165" s="272"/>
      <c r="B165" s="25"/>
      <c r="C165" s="192"/>
      <c r="D165" s="192"/>
      <c r="E165" s="192"/>
      <c r="F165" s="192"/>
      <c r="G165" s="251"/>
      <c r="H165" s="251"/>
      <c r="I165" s="251"/>
      <c r="J165" s="346"/>
    </row>
    <row r="166" spans="1:10" ht="15.75" hidden="1">
      <c r="A166" s="272"/>
      <c r="B166" s="25"/>
      <c r="C166" s="192"/>
      <c r="D166" s="192"/>
      <c r="E166" s="192"/>
      <c r="F166" s="192"/>
      <c r="G166" s="251"/>
      <c r="H166" s="251"/>
      <c r="I166" s="251"/>
      <c r="J166" s="346"/>
    </row>
    <row r="167" spans="1:10" ht="15.75" hidden="1">
      <c r="A167" s="272"/>
      <c r="B167" s="25"/>
      <c r="C167" s="192"/>
      <c r="D167" s="192"/>
      <c r="E167" s="192"/>
      <c r="F167" s="192"/>
      <c r="G167" s="251"/>
      <c r="H167" s="251"/>
      <c r="I167" s="251"/>
      <c r="J167" s="346"/>
    </row>
    <row r="168" spans="1:14" ht="15.75">
      <c r="A168" s="85" t="s">
        <v>29</v>
      </c>
      <c r="B168" s="73" t="s">
        <v>174</v>
      </c>
      <c r="C168" s="84"/>
      <c r="D168" s="82"/>
      <c r="E168" s="82"/>
      <c r="F168" s="82"/>
      <c r="G168" s="82"/>
      <c r="H168" s="82"/>
      <c r="I168" s="82"/>
      <c r="J168" s="82"/>
      <c r="K168" s="329"/>
      <c r="L168" s="82"/>
      <c r="M168" s="135"/>
      <c r="N168" s="134">
        <v>-28962.851886451263</v>
      </c>
    </row>
    <row r="169" spans="1:13" s="32" customFormat="1" ht="31.5">
      <c r="A169" s="44" t="s">
        <v>179</v>
      </c>
      <c r="B169" s="74" t="s">
        <v>293</v>
      </c>
      <c r="C169" s="145">
        <v>64273</v>
      </c>
      <c r="D169" s="145">
        <v>82268.71598838334</v>
      </c>
      <c r="E169" s="145">
        <v>223982.04460019362</v>
      </c>
      <c r="F169" s="145">
        <v>116338.01495221686</v>
      </c>
      <c r="G169" s="145">
        <f>G141+G90</f>
        <v>162761</v>
      </c>
      <c r="H169" s="145">
        <f>H141+H90</f>
        <v>192146.35694915254</v>
      </c>
      <c r="I169" s="145">
        <f>I141+I90</f>
        <v>217562.39236537289</v>
      </c>
      <c r="J169" s="145">
        <f>J141+J90</f>
        <v>183522.65650820345</v>
      </c>
      <c r="K169" s="340">
        <v>192667.5352741919</v>
      </c>
      <c r="L169" s="145">
        <v>214367.14832504696</v>
      </c>
      <c r="M169" s="145">
        <v>238755.87300217993</v>
      </c>
    </row>
    <row r="170" spans="1:13" s="32" customFormat="1" ht="31.5">
      <c r="A170" s="44" t="s">
        <v>183</v>
      </c>
      <c r="B170" s="74" t="s">
        <v>294</v>
      </c>
      <c r="C170" s="146">
        <v>5.656340755082285</v>
      </c>
      <c r="D170" s="146">
        <v>6.459541142303968</v>
      </c>
      <c r="E170" s="146">
        <v>17.776352746047113</v>
      </c>
      <c r="F170" s="146">
        <v>9.233175789858482</v>
      </c>
      <c r="G170" s="146">
        <f>G169/G99/1000</f>
        <v>9.461198628146255</v>
      </c>
      <c r="H170" s="146">
        <f>H169/H99/1000</f>
        <v>11.169351679890283</v>
      </c>
      <c r="I170" s="146">
        <f>I169/I99/1000</f>
        <v>12.64677046825396</v>
      </c>
      <c r="J170" s="146">
        <f>J169/J99/1000</f>
        <v>10.66806118166619</v>
      </c>
      <c r="K170" s="343">
        <v>15.29107422811047</v>
      </c>
      <c r="L170" s="146">
        <v>17.013265740083092</v>
      </c>
      <c r="M170" s="146">
        <v>18.94887880969682</v>
      </c>
    </row>
    <row r="171" spans="1:13" ht="31.5" hidden="1">
      <c r="A171" s="48" t="s">
        <v>66</v>
      </c>
      <c r="B171" s="89" t="s">
        <v>269</v>
      </c>
      <c r="C171" s="48">
        <v>21.32</v>
      </c>
      <c r="D171" s="97">
        <v>19.700316823306395</v>
      </c>
      <c r="E171" s="97">
        <v>22.285663691598046</v>
      </c>
      <c r="F171" s="97">
        <v>24.638823998124202</v>
      </c>
      <c r="G171" s="97"/>
      <c r="H171" s="97"/>
      <c r="I171" s="97"/>
      <c r="J171" s="97"/>
      <c r="K171" s="97">
        <v>40.802652094249545</v>
      </c>
      <c r="L171" s="97">
        <v>45.156555722839684</v>
      </c>
      <c r="M171" s="97" t="e">
        <v>#DIV/0!</v>
      </c>
    </row>
    <row r="172" spans="1:13" ht="15.75" hidden="1">
      <c r="A172" s="49"/>
      <c r="C172" s="49">
        <v>30694</v>
      </c>
      <c r="D172" s="88">
        <v>40350.188917496154</v>
      </c>
      <c r="E172" s="88">
        <v>45645.496373131115</v>
      </c>
      <c r="F172" s="88">
        <v>50465.23931295799</v>
      </c>
      <c r="G172" s="88"/>
      <c r="H172" s="88"/>
      <c r="I172" s="88"/>
      <c r="J172" s="88"/>
      <c r="K172" s="88">
        <v>83571.99201944191</v>
      </c>
      <c r="L172" s="88">
        <v>92489.65743152023</v>
      </c>
      <c r="M172" s="88">
        <v>56275.03007171421</v>
      </c>
    </row>
    <row r="173" spans="1:13" ht="31.5" hidden="1">
      <c r="A173" s="48" t="s">
        <v>29</v>
      </c>
      <c r="B173" s="89" t="s">
        <v>270</v>
      </c>
      <c r="C173" s="97">
        <v>5.656340755082285</v>
      </c>
      <c r="D173" s="97">
        <v>6.459541142303968</v>
      </c>
      <c r="E173" s="97">
        <v>7.23443605246605</v>
      </c>
      <c r="F173" s="97">
        <v>9.068650794921307</v>
      </c>
      <c r="G173" s="97"/>
      <c r="H173" s="97"/>
      <c r="I173" s="97"/>
      <c r="J173" s="97"/>
      <c r="K173" s="97">
        <v>14.798144545792093</v>
      </c>
      <c r="L173" s="97">
        <v>16.475331577769047</v>
      </c>
      <c r="M173" s="97">
        <v>18.410944647382777</v>
      </c>
    </row>
    <row r="174" spans="1:13" ht="15.75" hidden="1">
      <c r="A174" s="48" t="s">
        <v>31</v>
      </c>
      <c r="B174" s="39" t="s">
        <v>271</v>
      </c>
      <c r="C174" s="98">
        <v>0</v>
      </c>
      <c r="D174" s="98">
        <v>0</v>
      </c>
      <c r="E174" s="98"/>
      <c r="F174" s="153">
        <v>-1.78188955438155</v>
      </c>
      <c r="G174" s="153"/>
      <c r="H174" s="153"/>
      <c r="I174" s="153"/>
      <c r="J174" s="153"/>
      <c r="K174" s="153">
        <v>-3.223643250728543</v>
      </c>
      <c r="L174" s="153">
        <v>-3.1618512902356883</v>
      </c>
      <c r="M174" s="153">
        <v>-2.838870667317579</v>
      </c>
    </row>
    <row r="176" spans="2:8" ht="33" customHeight="1">
      <c r="B176" s="585" t="s">
        <v>230</v>
      </c>
      <c r="C176" s="585"/>
      <c r="D176" s="88"/>
      <c r="H176" s="315" t="s">
        <v>231</v>
      </c>
    </row>
    <row r="179" spans="4:14" ht="15.75" hidden="1">
      <c r="D179" s="88">
        <v>29</v>
      </c>
      <c r="E179" s="88">
        <v>2332</v>
      </c>
      <c r="F179" s="88">
        <v>3887</v>
      </c>
      <c r="G179" s="88">
        <v>3837</v>
      </c>
      <c r="H179" s="88">
        <v>3847.76</v>
      </c>
      <c r="I179" s="88">
        <v>3862.7616</v>
      </c>
      <c r="J179" s="88">
        <v>3863.432272</v>
      </c>
      <c r="K179" s="88">
        <v>3755.160326688</v>
      </c>
      <c r="L179" s="88">
        <v>3548.737687763264</v>
      </c>
      <c r="M179" s="88">
        <v>3354.8198403986653</v>
      </c>
      <c r="N179" s="102">
        <v>32317.671726849927</v>
      </c>
    </row>
  </sheetData>
  <sheetProtection/>
  <mergeCells count="22">
    <mergeCell ref="I12:J12"/>
    <mergeCell ref="A10:M10"/>
    <mergeCell ref="B176:C176"/>
    <mergeCell ref="C14:C16"/>
    <mergeCell ref="D14:D16"/>
    <mergeCell ref="E14:E16"/>
    <mergeCell ref="F14:F16"/>
    <mergeCell ref="G14:G16"/>
    <mergeCell ref="H14:H16"/>
    <mergeCell ref="I14:I16"/>
    <mergeCell ref="J14:J16"/>
    <mergeCell ref="L14:L16"/>
    <mergeCell ref="M14:M16"/>
    <mergeCell ref="A14:A16"/>
    <mergeCell ref="B14:B16"/>
    <mergeCell ref="K14:K16"/>
    <mergeCell ref="G5:J5"/>
    <mergeCell ref="G6:J6"/>
    <mergeCell ref="H2:J2"/>
    <mergeCell ref="H3:J3"/>
    <mergeCell ref="H4:J4"/>
    <mergeCell ref="H8:J8"/>
  </mergeCells>
  <printOptions/>
  <pageMargins left="0.7" right="0.7" top="0.39" bottom="0.3" header="0.3" footer="0.3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="75" zoomScaleNormal="75" zoomScaleSheetLayoutView="70" zoomScalePageLayoutView="0" workbookViewId="0" topLeftCell="A1">
      <selection activeCell="R28" sqref="R28"/>
    </sheetView>
  </sheetViews>
  <sheetFormatPr defaultColWidth="9.00390625" defaultRowHeight="15.75"/>
  <cols>
    <col min="1" max="1" width="9.125" style="1" bestFit="1" customWidth="1"/>
    <col min="2" max="2" width="73.125" style="1" customWidth="1"/>
    <col min="3" max="3" width="11.875" style="1" customWidth="1"/>
    <col min="4" max="4" width="9.125" style="1" bestFit="1" customWidth="1"/>
    <col min="5" max="5" width="10.25390625" style="1" customWidth="1"/>
    <col min="6" max="6" width="9.625" style="1" customWidth="1"/>
    <col min="7" max="7" width="8.125" style="1" hidden="1" customWidth="1"/>
    <col min="8" max="8" width="0" style="1" hidden="1" customWidth="1"/>
    <col min="9" max="9" width="14.625" style="1" hidden="1" customWidth="1"/>
    <col min="10" max="10" width="11.00390625" style="1" hidden="1" customWidth="1"/>
    <col min="11" max="11" width="8.00390625" style="1" hidden="1" customWidth="1"/>
    <col min="12" max="12" width="0" style="1" hidden="1" customWidth="1"/>
    <col min="13" max="13" width="8.625" style="1" hidden="1" customWidth="1"/>
    <col min="14" max="14" width="6.50390625" style="1" hidden="1" customWidth="1"/>
    <col min="15" max="15" width="7.75390625" style="1" hidden="1" customWidth="1"/>
    <col min="16" max="16" width="8.375" style="1" hidden="1" customWidth="1"/>
    <col min="17" max="17" width="8.50390625" style="1" customWidth="1"/>
    <col min="18" max="18" width="7.25390625" style="1" customWidth="1"/>
    <col min="19" max="19" width="9.25390625" style="2" customWidth="1"/>
    <col min="20" max="20" width="12.50390625" style="2" bestFit="1" customWidth="1"/>
    <col min="21" max="21" width="8.875" style="2" customWidth="1"/>
    <col min="22" max="34" width="8.75390625" style="1" hidden="1" customWidth="1"/>
    <col min="35" max="35" width="9.25390625" style="1" hidden="1" customWidth="1"/>
    <col min="36" max="16384" width="9.00390625" style="1" customWidth="1"/>
  </cols>
  <sheetData>
    <row r="1" spans="20:21" ht="15.75">
      <c r="T1" s="600" t="s">
        <v>523</v>
      </c>
      <c r="U1" s="569"/>
    </row>
    <row r="2" spans="20:21" ht="15.75">
      <c r="T2" s="3"/>
      <c r="U2" s="3" t="s">
        <v>7</v>
      </c>
    </row>
    <row r="3" spans="1:20" ht="15.75">
      <c r="A3" s="603" t="s">
        <v>280</v>
      </c>
      <c r="B3" s="569"/>
      <c r="T3" s="3"/>
    </row>
    <row r="4" spans="1:20" ht="15.75">
      <c r="A4" s="159"/>
      <c r="B4" s="130"/>
      <c r="T4" s="3"/>
    </row>
    <row r="5" spans="20:35" ht="15.75">
      <c r="T5" s="599" t="s">
        <v>9</v>
      </c>
      <c r="U5" s="569"/>
      <c r="AI5" s="3" t="s">
        <v>38</v>
      </c>
    </row>
    <row r="6" spans="19:35" ht="15.75">
      <c r="S6" s="599" t="s">
        <v>416</v>
      </c>
      <c r="T6" s="569"/>
      <c r="U6" s="569"/>
      <c r="AI6" s="3" t="s">
        <v>7</v>
      </c>
    </row>
    <row r="7" spans="17:35" ht="15.75">
      <c r="Q7" s="600"/>
      <c r="R7" s="569"/>
      <c r="S7" s="569"/>
      <c r="T7" s="569"/>
      <c r="U7" s="569"/>
      <c r="AI7" s="3" t="s">
        <v>8</v>
      </c>
    </row>
    <row r="8" spans="16:34" ht="15.75" customHeight="1">
      <c r="P8" s="601" t="s">
        <v>315</v>
      </c>
      <c r="Q8" s="601"/>
      <c r="R8" s="601"/>
      <c r="S8" s="601"/>
      <c r="T8" s="601"/>
      <c r="U8" s="602"/>
      <c r="AH8" s="3"/>
    </row>
    <row r="9" spans="17:34" ht="15.75">
      <c r="Q9" s="599" t="s">
        <v>10</v>
      </c>
      <c r="R9" s="569"/>
      <c r="S9" s="569"/>
      <c r="T9" s="569"/>
      <c r="U9" s="569"/>
      <c r="AH9" s="3"/>
    </row>
    <row r="10" spans="20:34" ht="15.75">
      <c r="T10" s="43"/>
      <c r="U10" s="43" t="s">
        <v>11</v>
      </c>
      <c r="AH10" s="3"/>
    </row>
    <row r="11" spans="20:34" ht="15.75">
      <c r="T11" s="43"/>
      <c r="AH11" s="3"/>
    </row>
    <row r="12" spans="1:25" ht="15.75">
      <c r="A12" s="583" t="s">
        <v>532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4"/>
      <c r="W12" s="4"/>
      <c r="X12" s="4"/>
      <c r="Y12" s="4"/>
    </row>
    <row r="13" spans="1:25" ht="15.75">
      <c r="A13" s="583" t="s">
        <v>531</v>
      </c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4"/>
      <c r="W13" s="4"/>
      <c r="X13" s="4"/>
      <c r="Y13" s="4"/>
    </row>
    <row r="14" spans="1:25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84" t="s">
        <v>306</v>
      </c>
      <c r="U15" s="584"/>
      <c r="V15" s="4"/>
      <c r="W15" s="4"/>
      <c r="X15" s="4"/>
      <c r="Y15" s="4"/>
    </row>
    <row r="16" spans="1:35" ht="27.75" customHeight="1">
      <c r="A16" s="587" t="s">
        <v>12</v>
      </c>
      <c r="B16" s="587" t="s">
        <v>39</v>
      </c>
      <c r="C16" s="596" t="s">
        <v>40</v>
      </c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8"/>
      <c r="Q16" s="575" t="s">
        <v>2</v>
      </c>
      <c r="R16" s="575"/>
      <c r="S16" s="575"/>
      <c r="T16" s="575"/>
      <c r="U16" s="575"/>
      <c r="V16" s="592" t="s">
        <v>40</v>
      </c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</row>
    <row r="17" spans="1:35" ht="21" customHeight="1">
      <c r="A17" s="588"/>
      <c r="B17" s="588"/>
      <c r="C17" s="593" t="s">
        <v>41</v>
      </c>
      <c r="D17" s="594"/>
      <c r="E17" s="594"/>
      <c r="F17" s="595"/>
      <c r="G17" s="592" t="s">
        <v>42</v>
      </c>
      <c r="H17" s="592"/>
      <c r="I17" s="592"/>
      <c r="J17" s="592"/>
      <c r="K17" s="592" t="s">
        <v>43</v>
      </c>
      <c r="L17" s="592"/>
      <c r="M17" s="592"/>
      <c r="N17" s="592"/>
      <c r="O17" s="592"/>
      <c r="P17" s="592" t="s">
        <v>44</v>
      </c>
      <c r="Q17" s="575"/>
      <c r="R17" s="575"/>
      <c r="S17" s="575"/>
      <c r="T17" s="575"/>
      <c r="U17" s="575"/>
      <c r="V17" s="593" t="s">
        <v>41</v>
      </c>
      <c r="W17" s="594"/>
      <c r="X17" s="594"/>
      <c r="Y17" s="595"/>
      <c r="Z17" s="592" t="s">
        <v>42</v>
      </c>
      <c r="AA17" s="592"/>
      <c r="AB17" s="592"/>
      <c r="AC17" s="592"/>
      <c r="AD17" s="592" t="s">
        <v>43</v>
      </c>
      <c r="AE17" s="592"/>
      <c r="AF17" s="592"/>
      <c r="AG17" s="592"/>
      <c r="AH17" s="592"/>
      <c r="AI17" s="590" t="s">
        <v>45</v>
      </c>
    </row>
    <row r="18" spans="1:35" ht="66.75" customHeight="1">
      <c r="A18" s="589"/>
      <c r="B18" s="589"/>
      <c r="C18" s="34" t="s">
        <v>46</v>
      </c>
      <c r="D18" s="35" t="s">
        <v>47</v>
      </c>
      <c r="E18" s="14" t="s">
        <v>48</v>
      </c>
      <c r="F18" s="14" t="s">
        <v>49</v>
      </c>
      <c r="G18" s="34" t="s">
        <v>46</v>
      </c>
      <c r="H18" s="35" t="s">
        <v>47</v>
      </c>
      <c r="I18" s="35" t="s">
        <v>50</v>
      </c>
      <c r="J18" s="35" t="s">
        <v>51</v>
      </c>
      <c r="K18" s="34" t="s">
        <v>52</v>
      </c>
      <c r="L18" s="35" t="s">
        <v>47</v>
      </c>
      <c r="M18" s="36" t="s">
        <v>53</v>
      </c>
      <c r="N18" s="36" t="s">
        <v>54</v>
      </c>
      <c r="O18" s="35" t="s">
        <v>55</v>
      </c>
      <c r="P18" s="592"/>
      <c r="Q18" s="37" t="s">
        <v>56</v>
      </c>
      <c r="R18" s="37" t="s">
        <v>57</v>
      </c>
      <c r="S18" s="37" t="s">
        <v>58</v>
      </c>
      <c r="T18" s="37" t="s">
        <v>59</v>
      </c>
      <c r="U18" s="37" t="s">
        <v>60</v>
      </c>
      <c r="V18" s="34" t="s">
        <v>46</v>
      </c>
      <c r="W18" s="38" t="s">
        <v>61</v>
      </c>
      <c r="X18" s="14" t="s">
        <v>48</v>
      </c>
      <c r="Y18" s="14" t="s">
        <v>62</v>
      </c>
      <c r="Z18" s="34" t="s">
        <v>46</v>
      </c>
      <c r="AA18" s="35" t="s">
        <v>47</v>
      </c>
      <c r="AB18" s="35" t="s">
        <v>50</v>
      </c>
      <c r="AC18" s="35" t="s">
        <v>51</v>
      </c>
      <c r="AD18" s="34" t="s">
        <v>52</v>
      </c>
      <c r="AE18" s="35" t="s">
        <v>47</v>
      </c>
      <c r="AF18" s="36" t="s">
        <v>53</v>
      </c>
      <c r="AG18" s="34" t="s">
        <v>54</v>
      </c>
      <c r="AH18" s="35" t="s">
        <v>55</v>
      </c>
      <c r="AI18" s="591"/>
    </row>
    <row r="19" spans="1:35" ht="25.5" customHeight="1">
      <c r="A19" s="6"/>
      <c r="B19" s="41" t="s">
        <v>340</v>
      </c>
      <c r="C19" s="34"/>
      <c r="D19" s="35"/>
      <c r="E19" s="14"/>
      <c r="F19" s="14"/>
      <c r="G19" s="34"/>
      <c r="H19" s="35"/>
      <c r="I19" s="35"/>
      <c r="J19" s="35"/>
      <c r="K19" s="34"/>
      <c r="L19" s="35"/>
      <c r="M19" s="36"/>
      <c r="N19" s="36"/>
      <c r="O19" s="35"/>
      <c r="P19" s="56"/>
      <c r="Q19" s="182">
        <f>Q20</f>
        <v>2400</v>
      </c>
      <c r="R19" s="182">
        <f>R20</f>
        <v>0</v>
      </c>
      <c r="S19" s="182">
        <f>S20</f>
        <v>1000</v>
      </c>
      <c r="T19" s="182">
        <f>T20</f>
        <v>1400</v>
      </c>
      <c r="U19" s="182">
        <f>U20</f>
        <v>0</v>
      </c>
      <c r="V19" s="34"/>
      <c r="W19" s="38"/>
      <c r="X19" s="14"/>
      <c r="Y19" s="14"/>
      <c r="Z19" s="34"/>
      <c r="AA19" s="35"/>
      <c r="AB19" s="35"/>
      <c r="AC19" s="35"/>
      <c r="AD19" s="34"/>
      <c r="AE19" s="35"/>
      <c r="AF19" s="36"/>
      <c r="AG19" s="34"/>
      <c r="AH19" s="35"/>
      <c r="AI19" s="48"/>
    </row>
    <row r="20" spans="1:35" ht="15.75">
      <c r="A20" s="6">
        <v>1</v>
      </c>
      <c r="B20" s="41" t="s">
        <v>21</v>
      </c>
      <c r="C20" s="6"/>
      <c r="D20" s="6"/>
      <c r="E20" s="22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82">
        <f>Q21+Q23+Q24</f>
        <v>2400</v>
      </c>
      <c r="R20" s="182">
        <f>R21+R23+R24</f>
        <v>0</v>
      </c>
      <c r="S20" s="182">
        <f>S21+S23+S24</f>
        <v>1000</v>
      </c>
      <c r="T20" s="182">
        <f>T21+T23+T24</f>
        <v>1400</v>
      </c>
      <c r="U20" s="182">
        <f>U21+U23+U24</f>
        <v>0</v>
      </c>
      <c r="V20" s="6"/>
      <c r="W20" s="6"/>
      <c r="X20" s="6"/>
      <c r="Y20" s="6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ht="15.75">
      <c r="A21" s="435" t="s">
        <v>22</v>
      </c>
      <c r="B21" s="436" t="str">
        <f>'приложение 1.1 2016-2017 ген'!B26</f>
        <v>Реконструкция здания ДЭС-5, в т.ч.: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161">
        <f>Q22</f>
        <v>2400</v>
      </c>
      <c r="R21" s="161">
        <f>R22</f>
        <v>0</v>
      </c>
      <c r="S21" s="161">
        <f>S22</f>
        <v>1000</v>
      </c>
      <c r="T21" s="161">
        <f>T22</f>
        <v>1400</v>
      </c>
      <c r="U21" s="161">
        <v>0</v>
      </c>
      <c r="V21" s="6"/>
      <c r="W21" s="6"/>
      <c r="X21" s="6"/>
      <c r="Y21" s="6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15.75">
      <c r="A22" s="263" t="str">
        <f>'приложение 1.1 2016-2017 ген'!A27</f>
        <v>—</v>
      </c>
      <c r="B22" s="19" t="str">
        <f>'приложение 1.1 2016-2017 ген'!B27</f>
        <v>Реконструкция градирни</v>
      </c>
      <c r="C22" s="14">
        <v>2018</v>
      </c>
      <c r="D22" s="14">
        <v>12</v>
      </c>
      <c r="E22" s="1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1">
        <f>R22+S22+T22</f>
        <v>2400</v>
      </c>
      <c r="R22" s="161"/>
      <c r="S22" s="161">
        <f>1000</f>
        <v>1000</v>
      </c>
      <c r="T22" s="161">
        <f>1400</f>
        <v>1400</v>
      </c>
      <c r="U22" s="14">
        <v>0</v>
      </c>
      <c r="V22" s="6"/>
      <c r="W22" s="17"/>
      <c r="X22" s="17"/>
      <c r="Y22" s="17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ht="15.75">
      <c r="A23" s="14" t="s">
        <v>24</v>
      </c>
      <c r="B23" s="17" t="str">
        <f>'приложение 1.1 2016-2017 ген'!B28</f>
        <v>Установка молниеотвода склада ГСМ ДЭС-5</v>
      </c>
      <c r="C23" s="14">
        <v>2016</v>
      </c>
      <c r="D23" s="14">
        <v>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61">
        <f>R23+S23+T23</f>
        <v>0</v>
      </c>
      <c r="R23" s="161"/>
      <c r="S23" s="161"/>
      <c r="T23" s="161"/>
      <c r="U23" s="14">
        <v>0</v>
      </c>
      <c r="V23" s="17"/>
      <c r="W23" s="17"/>
      <c r="X23" s="17"/>
      <c r="Y23" s="17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ht="15.75">
      <c r="A24" s="14" t="s">
        <v>25</v>
      </c>
      <c r="B24" s="17" t="str">
        <f>'приложение 1.1 2016-2017 ген'!B29</f>
        <v>Реконструкция системы освещения ДЭС-5</v>
      </c>
      <c r="C24" s="14"/>
      <c r="D24" s="14"/>
      <c r="E24" s="1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1">
        <f>R24+S24+T24</f>
        <v>0</v>
      </c>
      <c r="R24" s="161"/>
      <c r="S24" s="161"/>
      <c r="T24" s="161"/>
      <c r="U24" s="14">
        <v>0</v>
      </c>
      <c r="V24" s="6"/>
      <c r="W24" s="17"/>
      <c r="X24" s="17"/>
      <c r="Y24" s="17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ht="15.75">
      <c r="A25" s="274"/>
      <c r="B25" s="179"/>
      <c r="C25" s="274"/>
      <c r="D25" s="274"/>
      <c r="E25" s="274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202"/>
      <c r="R25" s="202"/>
      <c r="S25" s="202"/>
      <c r="T25" s="202"/>
      <c r="U25" s="274"/>
      <c r="V25" s="376"/>
      <c r="W25" s="179"/>
      <c r="X25" s="179"/>
      <c r="Y25" s="179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5.75">
      <c r="A26" s="274"/>
      <c r="B26" s="179"/>
      <c r="C26" s="274"/>
      <c r="D26" s="274"/>
      <c r="E26" s="274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202"/>
      <c r="R26" s="202"/>
      <c r="S26" s="202"/>
      <c r="T26" s="202"/>
      <c r="U26" s="274"/>
      <c r="V26" s="376"/>
      <c r="W26" s="179"/>
      <c r="X26" s="179"/>
      <c r="Y26" s="179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5.75">
      <c r="A27" s="274"/>
      <c r="B27" s="179"/>
      <c r="C27" s="274"/>
      <c r="D27" s="274"/>
      <c r="E27" s="274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202"/>
      <c r="R27" s="202"/>
      <c r="S27" s="202"/>
      <c r="T27" s="202"/>
      <c r="U27" s="274"/>
      <c r="V27" s="376"/>
      <c r="W27" s="179"/>
      <c r="X27" s="179"/>
      <c r="Y27" s="179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25" ht="15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26"/>
      <c r="U28" s="26"/>
      <c r="V28" s="25"/>
      <c r="W28" s="25"/>
      <c r="X28" s="25"/>
      <c r="Y28" s="25"/>
    </row>
    <row r="29" spans="1:21" ht="15.75" customHeight="1">
      <c r="A29" s="1"/>
      <c r="B29" s="585" t="s">
        <v>230</v>
      </c>
      <c r="C29" s="585"/>
      <c r="D29" s="281"/>
      <c r="E29" s="282"/>
      <c r="F29" s="282"/>
      <c r="G29" s="283"/>
      <c r="H29" s="284"/>
      <c r="I29" s="283"/>
      <c r="J29" s="283"/>
      <c r="K29" s="283"/>
      <c r="L29" s="586" t="s">
        <v>231</v>
      </c>
      <c r="M29" s="586"/>
      <c r="N29" s="283"/>
      <c r="O29" s="283"/>
      <c r="P29" s="283"/>
      <c r="Q29" s="283"/>
      <c r="R29" s="283"/>
      <c r="S29" s="283"/>
      <c r="T29" s="283" t="s">
        <v>231</v>
      </c>
      <c r="U29" s="283"/>
    </row>
    <row r="30" spans="1:25" ht="15.75" customHeight="1">
      <c r="A30" s="28"/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29"/>
      <c r="W30" s="29"/>
      <c r="X30" s="29"/>
      <c r="Y30" s="29"/>
    </row>
    <row r="31" ht="15.75">
      <c r="A31" s="28"/>
    </row>
    <row r="32" ht="15.75">
      <c r="A32" s="28"/>
    </row>
    <row r="33" spans="19:21" ht="33.75" customHeight="1">
      <c r="S33" s="1"/>
      <c r="T33" s="1"/>
      <c r="U33" s="1"/>
    </row>
    <row r="34" ht="15.75">
      <c r="A34" s="2"/>
    </row>
  </sheetData>
  <sheetProtection/>
  <mergeCells count="26">
    <mergeCell ref="Q9:U9"/>
    <mergeCell ref="K17:O17"/>
    <mergeCell ref="B16:B18"/>
    <mergeCell ref="T1:U1"/>
    <mergeCell ref="T5:U5"/>
    <mergeCell ref="S6:U6"/>
    <mergeCell ref="Q7:U7"/>
    <mergeCell ref="P8:U8"/>
    <mergeCell ref="A3:B3"/>
    <mergeCell ref="A13:U13"/>
    <mergeCell ref="AI17:AI18"/>
    <mergeCell ref="V16:AI16"/>
    <mergeCell ref="C17:F17"/>
    <mergeCell ref="V17:Y17"/>
    <mergeCell ref="G17:J17"/>
    <mergeCell ref="C16:P16"/>
    <mergeCell ref="P17:P18"/>
    <mergeCell ref="Z17:AC17"/>
    <mergeCell ref="AD17:AH17"/>
    <mergeCell ref="B30:U30"/>
    <mergeCell ref="A12:U12"/>
    <mergeCell ref="Q16:U17"/>
    <mergeCell ref="T15:U15"/>
    <mergeCell ref="B29:C29"/>
    <mergeCell ref="L29:M29"/>
    <mergeCell ref="A16:A18"/>
  </mergeCells>
  <printOptions/>
  <pageMargins left="0.7086614173228347" right="0.3937007874015748" top="0.6692913385826772" bottom="0.2362204724409449" header="0.31496062992125984" footer="0.31496062992125984"/>
  <pageSetup fitToHeight="0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Z29"/>
  <sheetViews>
    <sheetView zoomScale="75" zoomScaleNormal="75" zoomScaleSheetLayoutView="70" zoomScalePageLayoutView="0" workbookViewId="0" topLeftCell="A1">
      <selection activeCell="X27" sqref="X27"/>
    </sheetView>
  </sheetViews>
  <sheetFormatPr defaultColWidth="9.00390625" defaultRowHeight="15.75"/>
  <cols>
    <col min="1" max="1" width="7.25390625" style="1" customWidth="1"/>
    <col min="2" max="2" width="14.25390625" style="1" customWidth="1"/>
    <col min="3" max="3" width="4.75390625" style="1" hidden="1" customWidth="1"/>
    <col min="4" max="4" width="7.375" style="1" hidden="1" customWidth="1"/>
    <col min="5" max="5" width="4.375" style="1" customWidth="1"/>
    <col min="6" max="6" width="4.125" style="1" customWidth="1"/>
    <col min="7" max="7" width="4.375" style="1" customWidth="1"/>
    <col min="8" max="8" width="7.00390625" style="1" customWidth="1"/>
    <col min="9" max="9" width="4.375" style="1" customWidth="1"/>
    <col min="10" max="10" width="6.875" style="1" customWidth="1"/>
    <col min="11" max="11" width="4.50390625" style="1" customWidth="1"/>
    <col min="12" max="12" width="7.00390625" style="1" customWidth="1"/>
    <col min="13" max="13" width="4.50390625" style="1" customWidth="1"/>
    <col min="14" max="16" width="6.25390625" style="1" customWidth="1"/>
    <col min="17" max="18" width="6.25390625" style="1" hidden="1" customWidth="1"/>
    <col min="19" max="19" width="4.375" style="1" customWidth="1"/>
    <col min="20" max="20" width="3.875" style="1" customWidth="1"/>
    <col min="21" max="21" width="11.00390625" style="1" customWidth="1"/>
    <col min="22" max="22" width="11.50390625" style="1" customWidth="1"/>
    <col min="23" max="23" width="11.375" style="1" customWidth="1"/>
    <col min="24" max="24" width="11.50390625" style="1" customWidth="1"/>
    <col min="25" max="25" width="11.375" style="1" customWidth="1"/>
    <col min="26" max="16384" width="9.00390625" style="1" customWidth="1"/>
  </cols>
  <sheetData>
    <row r="1" spans="1:25" ht="15.75">
      <c r="A1" s="32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600" t="s">
        <v>524</v>
      </c>
      <c r="W1" s="620"/>
      <c r="X1" s="620"/>
      <c r="Y1" s="620"/>
    </row>
    <row r="2" spans="1:25" ht="15.75">
      <c r="A2" s="3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3"/>
      <c r="X2" s="3"/>
      <c r="Y2" s="3" t="s">
        <v>7</v>
      </c>
    </row>
    <row r="3" spans="1:25" ht="15.75">
      <c r="A3" s="603" t="s">
        <v>280</v>
      </c>
      <c r="B3" s="602"/>
      <c r="C3" s="602"/>
      <c r="D3" s="602"/>
      <c r="E3" s="602"/>
      <c r="F3" s="602"/>
      <c r="G3" s="602"/>
      <c r="H3" s="602"/>
      <c r="I3" s="602"/>
      <c r="J3" s="60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>
      <c r="A4" s="159"/>
      <c r="B4" s="47"/>
      <c r="C4" s="47"/>
      <c r="D4" s="47"/>
      <c r="E4" s="47"/>
      <c r="F4" s="47"/>
      <c r="G4" s="47"/>
      <c r="H4" s="47"/>
      <c r="I4" s="47"/>
      <c r="J4" s="47"/>
      <c r="K4" s="3"/>
      <c r="L4" s="3"/>
      <c r="M4" s="3"/>
      <c r="N4" s="3"/>
      <c r="O4" s="3"/>
      <c r="P4" s="3"/>
      <c r="Q4" s="3"/>
      <c r="R4" s="3"/>
      <c r="S4" s="3"/>
      <c r="T4" s="3"/>
      <c r="Y4" s="3" t="s">
        <v>9</v>
      </c>
    </row>
    <row r="5" spans="1:25" ht="15.75">
      <c r="A5" s="159"/>
      <c r="B5" s="47"/>
      <c r="C5" s="47"/>
      <c r="D5" s="47"/>
      <c r="E5" s="47"/>
      <c r="F5" s="47"/>
      <c r="G5" s="47"/>
      <c r="H5" s="47"/>
      <c r="I5" s="47"/>
      <c r="J5" s="47"/>
      <c r="K5" s="3"/>
      <c r="L5" s="3"/>
      <c r="M5" s="3"/>
      <c r="N5" s="3"/>
      <c r="O5" s="3"/>
      <c r="P5" s="3"/>
      <c r="Q5" s="3"/>
      <c r="R5" s="3"/>
      <c r="S5" s="3"/>
      <c r="T5" s="3"/>
      <c r="Y5" s="3" t="s">
        <v>416</v>
      </c>
    </row>
    <row r="6" spans="1:25" ht="15.75">
      <c r="A6" s="159"/>
      <c r="B6" s="47"/>
      <c r="C6" s="47"/>
      <c r="D6" s="47"/>
      <c r="E6" s="47"/>
      <c r="F6" s="47"/>
      <c r="G6" s="47"/>
      <c r="H6" s="47"/>
      <c r="I6" s="47"/>
      <c r="J6" s="47"/>
      <c r="K6" s="3"/>
      <c r="L6" s="3"/>
      <c r="M6" s="3"/>
      <c r="N6" s="3"/>
      <c r="O6" s="3"/>
      <c r="P6" s="3"/>
      <c r="Q6" s="3"/>
      <c r="R6" s="3"/>
      <c r="S6" s="3"/>
      <c r="T6" s="3"/>
      <c r="U6" s="600"/>
      <c r="V6" s="602"/>
      <c r="W6" s="602"/>
      <c r="X6" s="602"/>
      <c r="Y6" s="602"/>
    </row>
    <row r="7" spans="1:25" ht="20.25" customHeight="1">
      <c r="A7" s="159"/>
      <c r="B7" s="47"/>
      <c r="C7" s="47"/>
      <c r="D7" s="47"/>
      <c r="E7" s="47"/>
      <c r="F7" s="47"/>
      <c r="G7" s="47"/>
      <c r="H7" s="47"/>
      <c r="I7" s="47"/>
      <c r="J7" s="47"/>
      <c r="K7" s="3"/>
      <c r="L7" s="3"/>
      <c r="M7" s="3"/>
      <c r="N7" s="3"/>
      <c r="O7" s="3"/>
      <c r="P7" s="3"/>
      <c r="Q7" s="3"/>
      <c r="R7" s="3"/>
      <c r="S7" s="3"/>
      <c r="T7" s="3"/>
      <c r="U7" s="601" t="s">
        <v>315</v>
      </c>
      <c r="V7" s="601"/>
      <c r="W7" s="601"/>
      <c r="X7" s="601"/>
      <c r="Y7" s="601"/>
    </row>
    <row r="8" spans="1:25" ht="15.75">
      <c r="A8" s="159"/>
      <c r="B8" s="47"/>
      <c r="C8" s="47"/>
      <c r="D8" s="47"/>
      <c r="E8" s="47"/>
      <c r="F8" s="47"/>
      <c r="G8" s="47"/>
      <c r="H8" s="47"/>
      <c r="I8" s="47"/>
      <c r="J8" s="47"/>
      <c r="K8" s="3"/>
      <c r="L8" s="3"/>
      <c r="M8" s="3"/>
      <c r="N8" s="3"/>
      <c r="O8" s="3"/>
      <c r="P8" s="3"/>
      <c r="Q8" s="3"/>
      <c r="R8" s="3"/>
      <c r="S8" s="3"/>
      <c r="T8" s="3"/>
      <c r="Y8" s="3" t="s">
        <v>10</v>
      </c>
    </row>
    <row r="9" spans="1:25" ht="15.75">
      <c r="A9" s="159"/>
      <c r="B9" s="47"/>
      <c r="C9" s="47"/>
      <c r="D9" s="47"/>
      <c r="E9" s="47"/>
      <c r="F9" s="47"/>
      <c r="G9" s="47"/>
      <c r="H9" s="47"/>
      <c r="I9" s="47"/>
      <c r="J9" s="47"/>
      <c r="K9" s="3"/>
      <c r="L9" s="3"/>
      <c r="M9" s="3"/>
      <c r="N9" s="3"/>
      <c r="O9" s="3"/>
      <c r="P9" s="3"/>
      <c r="Q9" s="3"/>
      <c r="R9" s="3"/>
      <c r="S9" s="3"/>
      <c r="T9" s="3"/>
      <c r="Y9" s="3" t="s">
        <v>11</v>
      </c>
    </row>
    <row r="10" spans="1:25" ht="15.75" hidden="1">
      <c r="A10" s="3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3" t="s">
        <v>9</v>
      </c>
    </row>
    <row r="11" spans="1:25" ht="15.75" hidden="1">
      <c r="A11" s="32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3" t="s">
        <v>37</v>
      </c>
    </row>
    <row r="12" spans="1:25" ht="15.75" hidden="1">
      <c r="A12" s="3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 t="s">
        <v>300</v>
      </c>
    </row>
    <row r="13" spans="7:25" ht="15.75" hidden="1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01" t="s">
        <v>315</v>
      </c>
      <c r="U13" s="601"/>
      <c r="V13" s="601"/>
      <c r="W13" s="601"/>
      <c r="X13" s="601"/>
      <c r="Y13" s="602"/>
    </row>
    <row r="14" spans="1:25" ht="15.75" hidden="1">
      <c r="A14" s="32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" t="s">
        <v>10</v>
      </c>
    </row>
    <row r="15" spans="1:25" ht="15.75" hidden="1">
      <c r="A15" s="3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 t="s">
        <v>11</v>
      </c>
    </row>
    <row r="16" spans="1:19" ht="15.75">
      <c r="A16" s="32"/>
      <c r="S16" s="3"/>
    </row>
    <row r="17" spans="1:25" ht="18.75">
      <c r="A17" s="628" t="s">
        <v>533</v>
      </c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</row>
    <row r="18" spans="1:25" ht="18.75">
      <c r="A18" s="628" t="s">
        <v>531</v>
      </c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</row>
    <row r="19" spans="1:25" ht="12.75" customHeight="1">
      <c r="A19" s="544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</row>
    <row r="20" ht="10.5" customHeight="1" thickBot="1">
      <c r="A20" s="2"/>
    </row>
    <row r="21" spans="1:25" ht="15.75" customHeight="1">
      <c r="A21" s="578" t="s">
        <v>63</v>
      </c>
      <c r="B21" s="574" t="s">
        <v>64</v>
      </c>
      <c r="C21" s="621" t="s">
        <v>17</v>
      </c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3"/>
      <c r="R21" s="624"/>
      <c r="S21" s="630" t="s">
        <v>302</v>
      </c>
      <c r="T21" s="622"/>
      <c r="U21" s="622"/>
      <c r="V21" s="622"/>
      <c r="W21" s="622"/>
      <c r="X21" s="622"/>
      <c r="Y21" s="631"/>
    </row>
    <row r="22" spans="1:25" ht="16.5" customHeight="1">
      <c r="A22" s="579"/>
      <c r="B22" s="575"/>
      <c r="C22" s="625" t="s">
        <v>65</v>
      </c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26"/>
      <c r="R22" s="627"/>
      <c r="S22" s="617" t="s">
        <v>65</v>
      </c>
      <c r="T22" s="618"/>
      <c r="U22" s="618"/>
      <c r="V22" s="618"/>
      <c r="W22" s="618"/>
      <c r="X22" s="618"/>
      <c r="Y22" s="619"/>
    </row>
    <row r="23" spans="1:25" ht="16.5" customHeight="1">
      <c r="A23" s="579"/>
      <c r="B23" s="575"/>
      <c r="C23" s="616">
        <v>2011</v>
      </c>
      <c r="D23" s="616"/>
      <c r="E23" s="616">
        <v>2013</v>
      </c>
      <c r="F23" s="616"/>
      <c r="G23" s="616">
        <v>2014</v>
      </c>
      <c r="H23" s="616"/>
      <c r="I23" s="616">
        <v>2015</v>
      </c>
      <c r="J23" s="616"/>
      <c r="K23" s="616">
        <v>2016</v>
      </c>
      <c r="L23" s="616"/>
      <c r="M23" s="616">
        <v>2017</v>
      </c>
      <c r="N23" s="616"/>
      <c r="O23" s="616">
        <v>2018</v>
      </c>
      <c r="P23" s="616"/>
      <c r="Q23" s="616">
        <v>2019</v>
      </c>
      <c r="R23" s="616"/>
      <c r="S23" s="615">
        <v>2013</v>
      </c>
      <c r="T23" s="616"/>
      <c r="U23" s="7">
        <v>2014</v>
      </c>
      <c r="V23" s="7">
        <v>2015</v>
      </c>
      <c r="W23" s="7">
        <v>2016</v>
      </c>
      <c r="X23" s="7">
        <v>2017</v>
      </c>
      <c r="Y23" s="216">
        <v>2018</v>
      </c>
    </row>
    <row r="24" spans="1:26" ht="15.75">
      <c r="A24" s="203">
        <v>1</v>
      </c>
      <c r="B24" s="44">
        <v>2</v>
      </c>
      <c r="C24" s="612">
        <v>3</v>
      </c>
      <c r="D24" s="612"/>
      <c r="E24" s="612">
        <v>3</v>
      </c>
      <c r="F24" s="612"/>
      <c r="G24" s="612">
        <v>4</v>
      </c>
      <c r="H24" s="612"/>
      <c r="I24" s="612">
        <v>5</v>
      </c>
      <c r="J24" s="612"/>
      <c r="K24" s="612">
        <v>6</v>
      </c>
      <c r="L24" s="612"/>
      <c r="M24" s="612">
        <v>7</v>
      </c>
      <c r="N24" s="612"/>
      <c r="O24" s="612">
        <v>8</v>
      </c>
      <c r="P24" s="612"/>
      <c r="Q24" s="612">
        <v>9</v>
      </c>
      <c r="R24" s="612"/>
      <c r="S24" s="629">
        <v>8</v>
      </c>
      <c r="T24" s="612"/>
      <c r="U24" s="44">
        <v>9</v>
      </c>
      <c r="V24" s="44">
        <v>10</v>
      </c>
      <c r="W24" s="44">
        <v>11</v>
      </c>
      <c r="X24" s="44">
        <v>12</v>
      </c>
      <c r="Y24" s="229">
        <v>12</v>
      </c>
      <c r="Z24" s="46"/>
    </row>
    <row r="25" spans="1:25" ht="96" customHeight="1" thickBot="1">
      <c r="A25" s="227">
        <v>1</v>
      </c>
      <c r="B25" s="230"/>
      <c r="C25" s="610"/>
      <c r="D25" s="611"/>
      <c r="E25" s="610"/>
      <c r="F25" s="611"/>
      <c r="G25" s="613"/>
      <c r="H25" s="614"/>
      <c r="I25" s="613"/>
      <c r="J25" s="614"/>
      <c r="K25" s="613"/>
      <c r="L25" s="614"/>
      <c r="M25" s="613"/>
      <c r="N25" s="614"/>
      <c r="O25" s="613"/>
      <c r="P25" s="614"/>
      <c r="Q25" s="605" t="e">
        <f>'приложение 1.1 2016-2017 ген'!#REF!</f>
        <v>#REF!</v>
      </c>
      <c r="R25" s="606"/>
      <c r="S25" s="608"/>
      <c r="T25" s="609"/>
      <c r="U25" s="228"/>
      <c r="V25" s="228"/>
      <c r="W25" s="228"/>
      <c r="X25" s="228"/>
      <c r="Y25" s="270"/>
    </row>
    <row r="26" spans="1:25" ht="15.75">
      <c r="A26" s="495"/>
      <c r="B26" s="545"/>
      <c r="C26" s="495"/>
      <c r="D26" s="495"/>
      <c r="E26" s="495"/>
      <c r="F26" s="495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</row>
    <row r="27" spans="1:25" ht="15.75">
      <c r="A27" s="495"/>
      <c r="B27" s="545"/>
      <c r="C27" s="495"/>
      <c r="D27" s="495"/>
      <c r="E27" s="495"/>
      <c r="F27" s="495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</row>
    <row r="28" ht="15.75">
      <c r="B28" s="120"/>
    </row>
    <row r="29" spans="1:25" ht="42" customHeight="1">
      <c r="A29" s="1"/>
      <c r="B29" s="607" t="s">
        <v>230</v>
      </c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222"/>
      <c r="S29" s="222"/>
      <c r="W29" s="604" t="s">
        <v>231</v>
      </c>
      <c r="X29" s="604"/>
      <c r="Y29" s="604"/>
    </row>
  </sheetData>
  <sheetProtection/>
  <mergeCells count="42">
    <mergeCell ref="A18:Y18"/>
    <mergeCell ref="A21:A23"/>
    <mergeCell ref="B21:B23"/>
    <mergeCell ref="M24:N24"/>
    <mergeCell ref="S24:T24"/>
    <mergeCell ref="S21:Y21"/>
    <mergeCell ref="E24:F24"/>
    <mergeCell ref="K24:L24"/>
    <mergeCell ref="O24:P24"/>
    <mergeCell ref="Q24:R24"/>
    <mergeCell ref="V1:Y1"/>
    <mergeCell ref="K23:L23"/>
    <mergeCell ref="C21:R21"/>
    <mergeCell ref="C22:R22"/>
    <mergeCell ref="E23:F23"/>
    <mergeCell ref="C23:D23"/>
    <mergeCell ref="U6:Y6"/>
    <mergeCell ref="T13:Y13"/>
    <mergeCell ref="A17:Y17"/>
    <mergeCell ref="A3:J3"/>
    <mergeCell ref="U7:Y7"/>
    <mergeCell ref="I24:J24"/>
    <mergeCell ref="S23:T23"/>
    <mergeCell ref="G23:H23"/>
    <mergeCell ref="M23:N23"/>
    <mergeCell ref="I23:J23"/>
    <mergeCell ref="S22:Y22"/>
    <mergeCell ref="Q23:R23"/>
    <mergeCell ref="G24:H24"/>
    <mergeCell ref="O23:P23"/>
    <mergeCell ref="C24:D24"/>
    <mergeCell ref="I25:J25"/>
    <mergeCell ref="K25:L25"/>
    <mergeCell ref="G25:H25"/>
    <mergeCell ref="O25:P25"/>
    <mergeCell ref="M25:N25"/>
    <mergeCell ref="W29:Y29"/>
    <mergeCell ref="Q25:R25"/>
    <mergeCell ref="B29:Q29"/>
    <mergeCell ref="S25:T25"/>
    <mergeCell ref="C25:D25"/>
    <mergeCell ref="E25:F25"/>
  </mergeCells>
  <printOptions/>
  <pageMargins left="0.47" right="0.1968503937007874" top="0.46" bottom="0.15748031496062992" header="0.1968503937007874" footer="0.15748031496062992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="65" zoomScaleNormal="65" zoomScaleSheetLayoutView="70" zoomScalePageLayoutView="0" workbookViewId="0" topLeftCell="A10">
      <selection activeCell="S24" sqref="S24"/>
    </sheetView>
  </sheetViews>
  <sheetFormatPr defaultColWidth="9.00390625" defaultRowHeight="15.75"/>
  <cols>
    <col min="1" max="1" width="7.50390625" style="52" bestFit="1" customWidth="1"/>
    <col min="2" max="2" width="23.00390625" style="53" customWidth="1"/>
    <col min="3" max="3" width="16.625" style="53" bestFit="1" customWidth="1"/>
    <col min="4" max="4" width="17.625" style="53" customWidth="1"/>
    <col min="5" max="5" width="10.875" style="53" bestFit="1" customWidth="1"/>
    <col min="6" max="6" width="11.875" style="53" customWidth="1"/>
    <col min="7" max="7" width="9.00390625" style="53" customWidth="1"/>
    <col min="8" max="8" width="12.625" style="53" customWidth="1"/>
    <col min="9" max="9" width="13.875" style="55" bestFit="1" customWidth="1"/>
    <col min="10" max="10" width="13.25390625" style="55" bestFit="1" customWidth="1"/>
    <col min="11" max="11" width="16.00390625" style="53" bestFit="1" customWidth="1"/>
    <col min="12" max="12" width="13.50390625" style="53" customWidth="1"/>
    <col min="13" max="13" width="16.875" style="53" customWidth="1"/>
    <col min="14" max="14" width="13.25390625" style="53" customWidth="1"/>
    <col min="15" max="15" width="18.375" style="53" hidden="1" customWidth="1"/>
    <col min="16" max="16" width="15.00390625" style="53" hidden="1" customWidth="1"/>
    <col min="17" max="17" width="14.75390625" style="53" bestFit="1" customWidth="1"/>
    <col min="18" max="18" width="14.625" style="53" bestFit="1" customWidth="1"/>
    <col min="19" max="19" width="13.75390625" style="53" bestFit="1" customWidth="1"/>
    <col min="20" max="20" width="14.25390625" style="53" bestFit="1" customWidth="1"/>
    <col min="21" max="21" width="41.125" style="55" customWidth="1"/>
    <col min="22" max="22" width="20.50390625" style="55" bestFit="1" customWidth="1"/>
    <col min="23" max="23" width="27.875" style="55" bestFit="1" customWidth="1"/>
    <col min="24" max="24" width="8.625" style="53" hidden="1" customWidth="1"/>
    <col min="25" max="25" width="5.00390625" style="53" hidden="1" customWidth="1"/>
    <col min="26" max="26" width="8.00390625" style="53" hidden="1" customWidth="1"/>
    <col min="27" max="27" width="11.875" style="53" hidden="1" customWidth="1"/>
    <col min="28" max="16384" width="9.00390625" style="52" customWidth="1"/>
  </cols>
  <sheetData>
    <row r="1" spans="15:23" ht="20.25">
      <c r="O1" s="54"/>
      <c r="P1" s="54"/>
      <c r="Q1" s="54"/>
      <c r="R1" s="54"/>
      <c r="S1" s="54"/>
      <c r="T1" s="54"/>
      <c r="U1" s="54"/>
      <c r="V1" s="54"/>
      <c r="W1" s="114" t="s">
        <v>525</v>
      </c>
    </row>
    <row r="2" spans="1:23" ht="20.25">
      <c r="A2" s="207"/>
      <c r="B2" s="208"/>
      <c r="C2" s="208"/>
      <c r="D2" s="208"/>
      <c r="O2" s="54"/>
      <c r="P2" s="54"/>
      <c r="Q2" s="54"/>
      <c r="R2" s="1"/>
      <c r="S2" s="1"/>
      <c r="T2" s="113"/>
      <c r="U2" s="113"/>
      <c r="W2" s="114" t="s">
        <v>7</v>
      </c>
    </row>
    <row r="3" spans="1:23" ht="20.25">
      <c r="A3" s="209" t="s">
        <v>280</v>
      </c>
      <c r="B3" s="208"/>
      <c r="C3" s="208"/>
      <c r="D3" s="208"/>
      <c r="O3" s="54"/>
      <c r="P3" s="54"/>
      <c r="Q3" s="54"/>
      <c r="R3" s="1"/>
      <c r="S3" s="1"/>
      <c r="T3" s="113"/>
      <c r="U3" s="113"/>
      <c r="V3" s="52"/>
      <c r="W3" s="52"/>
    </row>
    <row r="4" spans="1:23" ht="20.25">
      <c r="A4" s="209"/>
      <c r="B4" s="208"/>
      <c r="C4" s="208"/>
      <c r="D4" s="208"/>
      <c r="O4" s="54"/>
      <c r="P4" s="54"/>
      <c r="Q4" s="54"/>
      <c r="R4" s="1"/>
      <c r="S4" s="1"/>
      <c r="T4" s="113"/>
      <c r="U4" s="113"/>
      <c r="V4" s="52"/>
      <c r="W4" s="52"/>
    </row>
    <row r="5" spans="1:23" ht="20.25">
      <c r="A5" s="209"/>
      <c r="B5" s="208"/>
      <c r="C5" s="208"/>
      <c r="D5" s="208"/>
      <c r="O5" s="54"/>
      <c r="P5" s="54"/>
      <c r="Q5" s="54"/>
      <c r="R5" s="1"/>
      <c r="S5" s="1"/>
      <c r="T5" s="113"/>
      <c r="U5" s="113"/>
      <c r="V5" s="568" t="s">
        <v>9</v>
      </c>
      <c r="W5" s="569"/>
    </row>
    <row r="6" spans="1:23" ht="20.25">
      <c r="A6" s="209"/>
      <c r="B6" s="208"/>
      <c r="C6" s="208"/>
      <c r="D6" s="208"/>
      <c r="O6" s="54"/>
      <c r="P6" s="54"/>
      <c r="Q6" s="54"/>
      <c r="R6" s="1"/>
      <c r="S6" s="1"/>
      <c r="T6" s="113"/>
      <c r="U6" s="113"/>
      <c r="V6" s="568" t="s">
        <v>416</v>
      </c>
      <c r="W6" s="569"/>
    </row>
    <row r="7" spans="1:23" ht="20.25">
      <c r="A7" s="207"/>
      <c r="B7" s="208"/>
      <c r="C7" s="208"/>
      <c r="D7" s="208"/>
      <c r="O7" s="54"/>
      <c r="P7" s="54"/>
      <c r="Q7" s="54"/>
      <c r="R7" s="1"/>
      <c r="S7" s="1"/>
      <c r="T7" s="113"/>
      <c r="U7" s="113"/>
      <c r="V7" s="568"/>
      <c r="W7" s="569"/>
    </row>
    <row r="8" spans="15:23" ht="20.25">
      <c r="O8" s="54"/>
      <c r="P8" s="54"/>
      <c r="Q8" s="54"/>
      <c r="R8" s="566" t="s">
        <v>315</v>
      </c>
      <c r="S8" s="566"/>
      <c r="T8" s="566"/>
      <c r="U8" s="566"/>
      <c r="V8" s="566"/>
      <c r="W8" s="602"/>
    </row>
    <row r="9" spans="15:23" ht="20.25">
      <c r="O9" s="54"/>
      <c r="P9" s="54"/>
      <c r="Q9" s="54"/>
      <c r="R9" s="1"/>
      <c r="S9" s="1"/>
      <c r="T9" s="113"/>
      <c r="U9" s="113"/>
      <c r="W9" s="114" t="s">
        <v>10</v>
      </c>
    </row>
    <row r="10" spans="15:23" ht="20.25">
      <c r="O10" s="54"/>
      <c r="P10" s="54"/>
      <c r="Q10" s="54"/>
      <c r="R10" s="1"/>
      <c r="S10" s="1"/>
      <c r="T10" s="113"/>
      <c r="U10" s="113"/>
      <c r="V10" s="568" t="s">
        <v>11</v>
      </c>
      <c r="W10" s="620"/>
    </row>
    <row r="11" spans="15:23" ht="20.25">
      <c r="O11" s="54"/>
      <c r="P11" s="54"/>
      <c r="Q11" s="54"/>
      <c r="R11" s="1"/>
      <c r="S11" s="1"/>
      <c r="T11" s="113"/>
      <c r="U11" s="113"/>
      <c r="V11" s="204"/>
      <c r="W11" s="83"/>
    </row>
    <row r="12" spans="1:27" ht="23.25">
      <c r="A12" s="632" t="s">
        <v>534</v>
      </c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126"/>
      <c r="Y12" s="126"/>
      <c r="Z12" s="126"/>
      <c r="AA12" s="126"/>
    </row>
    <row r="13" spans="1:27" ht="23.25">
      <c r="A13" s="632" t="s">
        <v>531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126"/>
      <c r="Y13" s="126"/>
      <c r="Z13" s="126"/>
      <c r="AA13" s="126"/>
    </row>
    <row r="14" spans="15:23" ht="20.25">
      <c r="O14" s="54"/>
      <c r="P14" s="54"/>
      <c r="Q14" s="54"/>
      <c r="R14" s="1"/>
      <c r="S14" s="1"/>
      <c r="T14" s="113"/>
      <c r="U14" s="113"/>
      <c r="V14" s="204"/>
      <c r="W14" s="83"/>
    </row>
    <row r="15" ht="16.5" thickBot="1">
      <c r="W15" s="426" t="s">
        <v>306</v>
      </c>
    </row>
    <row r="16" spans="1:27" s="53" customFormat="1" ht="84.75" customHeight="1">
      <c r="A16" s="640" t="s">
        <v>67</v>
      </c>
      <c r="B16" s="634" t="s">
        <v>68</v>
      </c>
      <c r="C16" s="634" t="s">
        <v>69</v>
      </c>
      <c r="D16" s="634" t="s">
        <v>70</v>
      </c>
      <c r="E16" s="634" t="s">
        <v>71</v>
      </c>
      <c r="F16" s="634"/>
      <c r="G16" s="634"/>
      <c r="H16" s="634" t="s">
        <v>72</v>
      </c>
      <c r="I16" s="634" t="s">
        <v>73</v>
      </c>
      <c r="J16" s="634"/>
      <c r="K16" s="634" t="s">
        <v>237</v>
      </c>
      <c r="L16" s="634"/>
      <c r="M16" s="634"/>
      <c r="N16" s="634"/>
      <c r="O16" s="634" t="s">
        <v>74</v>
      </c>
      <c r="P16" s="634" t="s">
        <v>75</v>
      </c>
      <c r="Q16" s="634" t="s">
        <v>5</v>
      </c>
      <c r="R16" s="634"/>
      <c r="S16" s="634" t="s">
        <v>549</v>
      </c>
      <c r="T16" s="634"/>
      <c r="U16" s="644" t="s">
        <v>76</v>
      </c>
      <c r="V16" s="644"/>
      <c r="W16" s="645"/>
      <c r="X16" s="642" t="s">
        <v>77</v>
      </c>
      <c r="Y16" s="634"/>
      <c r="Z16" s="634"/>
      <c r="AA16" s="643"/>
    </row>
    <row r="17" spans="1:27" s="53" customFormat="1" ht="39.75" customHeight="1">
      <c r="A17" s="641"/>
      <c r="B17" s="592"/>
      <c r="C17" s="592"/>
      <c r="D17" s="592"/>
      <c r="E17" s="592" t="s">
        <v>78</v>
      </c>
      <c r="F17" s="592" t="s">
        <v>79</v>
      </c>
      <c r="G17" s="592" t="s">
        <v>80</v>
      </c>
      <c r="H17" s="592"/>
      <c r="I17" s="592" t="s">
        <v>81</v>
      </c>
      <c r="J17" s="592" t="s">
        <v>82</v>
      </c>
      <c r="K17" s="592" t="s">
        <v>83</v>
      </c>
      <c r="L17" s="592" t="s">
        <v>84</v>
      </c>
      <c r="M17" s="592" t="s">
        <v>85</v>
      </c>
      <c r="N17" s="592" t="s">
        <v>86</v>
      </c>
      <c r="O17" s="592"/>
      <c r="P17" s="592"/>
      <c r="Q17" s="592" t="s">
        <v>236</v>
      </c>
      <c r="R17" s="592" t="s">
        <v>87</v>
      </c>
      <c r="S17" s="592" t="s">
        <v>236</v>
      </c>
      <c r="T17" s="592" t="s">
        <v>87</v>
      </c>
      <c r="U17" s="592" t="s">
        <v>89</v>
      </c>
      <c r="V17" s="592" t="s">
        <v>90</v>
      </c>
      <c r="W17" s="637" t="s">
        <v>91</v>
      </c>
      <c r="X17" s="598" t="s">
        <v>92</v>
      </c>
      <c r="Y17" s="592"/>
      <c r="Z17" s="592" t="s">
        <v>93</v>
      </c>
      <c r="AA17" s="637"/>
    </row>
    <row r="18" spans="1:27" ht="63.75" customHeight="1">
      <c r="A18" s="641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637"/>
      <c r="X18" s="180" t="s">
        <v>94</v>
      </c>
      <c r="Y18" s="56" t="s">
        <v>95</v>
      </c>
      <c r="Z18" s="58" t="s">
        <v>96</v>
      </c>
      <c r="AA18" s="57" t="s">
        <v>97</v>
      </c>
    </row>
    <row r="19" spans="1:27" ht="54" customHeight="1" hidden="1">
      <c r="A19" s="119">
        <v>1</v>
      </c>
      <c r="B19" s="115" t="s">
        <v>275</v>
      </c>
      <c r="C19" s="59" t="s">
        <v>0</v>
      </c>
      <c r="D19" s="115" t="s">
        <v>1</v>
      </c>
      <c r="E19" s="115">
        <v>0</v>
      </c>
      <c r="F19" s="59"/>
      <c r="G19" s="59"/>
      <c r="H19" s="59" t="s">
        <v>278</v>
      </c>
      <c r="I19" s="60">
        <v>0</v>
      </c>
      <c r="J19" s="60">
        <v>0</v>
      </c>
      <c r="K19" s="59"/>
      <c r="L19" s="59"/>
      <c r="M19" s="59"/>
      <c r="N19" s="59"/>
      <c r="O19" s="59"/>
      <c r="P19" s="59"/>
      <c r="Q19" s="60">
        <v>0</v>
      </c>
      <c r="R19" s="59"/>
      <c r="S19" s="59"/>
      <c r="T19" s="59"/>
      <c r="U19" s="163" t="s">
        <v>279</v>
      </c>
      <c r="V19" s="60"/>
      <c r="W19" s="295"/>
      <c r="X19" s="294"/>
      <c r="Y19" s="59"/>
      <c r="Z19" s="59"/>
      <c r="AA19" s="164"/>
    </row>
    <row r="20" spans="1:27" ht="18.75" hidden="1">
      <c r="A20" s="646" t="e">
        <f>'приложение 1.1 2016-2017 ген'!#REF!</f>
        <v>#REF!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163"/>
      <c r="V20" s="60"/>
      <c r="W20" s="295"/>
      <c r="X20" s="294"/>
      <c r="Y20" s="59"/>
      <c r="Z20" s="59"/>
      <c r="AA20" s="164"/>
    </row>
    <row r="21" spans="1:27" ht="15.75">
      <c r="A21" s="638" t="s">
        <v>259</v>
      </c>
      <c r="B21" s="639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3">
        <f>Q22+Q24+Q25</f>
        <v>9261.5911</v>
      </c>
      <c r="R21" s="292"/>
      <c r="S21" s="292"/>
      <c r="T21" s="292"/>
      <c r="U21" s="163"/>
      <c r="V21" s="60"/>
      <c r="W21" s="295"/>
      <c r="X21" s="184"/>
      <c r="Y21" s="184"/>
      <c r="Z21" s="184"/>
      <c r="AA21" s="184"/>
    </row>
    <row r="22" spans="1:27" ht="63">
      <c r="A22" s="308">
        <v>1</v>
      </c>
      <c r="B22" s="311" t="str">
        <f>'приложение 1.2 2016-2017 ген'!B21</f>
        <v>Реконструкция здания ДЭС-5, в т.ч.:</v>
      </c>
      <c r="C22" s="350" t="s">
        <v>0</v>
      </c>
      <c r="D22" s="351" t="s">
        <v>1</v>
      </c>
      <c r="E22" s="309"/>
      <c r="F22" s="309"/>
      <c r="G22" s="309"/>
      <c r="H22" s="309"/>
      <c r="I22" s="309"/>
      <c r="J22" s="309"/>
      <c r="K22" s="309"/>
      <c r="L22" s="304"/>
      <c r="M22" s="304"/>
      <c r="N22" s="304"/>
      <c r="O22" s="309"/>
      <c r="P22" s="309"/>
      <c r="Q22" s="310">
        <f>Q23</f>
        <v>7794.5911</v>
      </c>
      <c r="R22" s="309"/>
      <c r="S22" s="309"/>
      <c r="T22" s="309"/>
      <c r="U22" s="163"/>
      <c r="V22" s="60"/>
      <c r="W22" s="295"/>
      <c r="X22" s="184"/>
      <c r="Y22" s="184"/>
      <c r="Z22" s="184"/>
      <c r="AA22" s="184"/>
    </row>
    <row r="23" spans="1:27" s="288" customFormat="1" ht="63">
      <c r="A23" s="296" t="s">
        <v>362</v>
      </c>
      <c r="B23" s="17" t="str">
        <f>'приложение 1.1 2016-2017 ген'!B27</f>
        <v>Реконструкция градирни</v>
      </c>
      <c r="C23" s="350" t="s">
        <v>0</v>
      </c>
      <c r="D23" s="351" t="s">
        <v>1</v>
      </c>
      <c r="E23" s="163"/>
      <c r="F23" s="60"/>
      <c r="G23" s="60"/>
      <c r="H23" s="60"/>
      <c r="I23" s="268">
        <f>'приложение 1.1 2016-2017 ген'!E27</f>
        <v>2013</v>
      </c>
      <c r="J23" s="268">
        <f>'приложение 1.2 2016-2017 ген'!C22</f>
        <v>2018</v>
      </c>
      <c r="K23" s="361" t="s">
        <v>341</v>
      </c>
      <c r="L23" s="360" t="s">
        <v>318</v>
      </c>
      <c r="M23" s="360" t="s">
        <v>318</v>
      </c>
      <c r="N23" s="360" t="s">
        <v>318</v>
      </c>
      <c r="O23" s="206"/>
      <c r="P23" s="206"/>
      <c r="Q23" s="205">
        <f>'приложение 1.1 2016-2017 ген'!G27</f>
        <v>7794.5911</v>
      </c>
      <c r="R23" s="205"/>
      <c r="S23" s="205">
        <f>'приложение 1.1 2016-2017 ген'!H26</f>
        <v>2400</v>
      </c>
      <c r="T23" s="205"/>
      <c r="U23" s="363" t="s">
        <v>348</v>
      </c>
      <c r="V23" s="60"/>
      <c r="W23" s="295"/>
      <c r="X23" s="184"/>
      <c r="Y23" s="184"/>
      <c r="Z23" s="184"/>
      <c r="AA23" s="184"/>
    </row>
    <row r="24" spans="1:27" ht="60">
      <c r="A24" s="16">
        <v>2</v>
      </c>
      <c r="B24" s="17" t="str">
        <f>'приложение 1.1 2016-2017 ген'!B28</f>
        <v>Установка молниеотвода склада ГСМ ДЭС-5</v>
      </c>
      <c r="C24" s="350" t="s">
        <v>0</v>
      </c>
      <c r="D24" s="195" t="s">
        <v>1</v>
      </c>
      <c r="E24" s="115"/>
      <c r="F24" s="59"/>
      <c r="G24" s="59"/>
      <c r="H24" s="59"/>
      <c r="I24" s="185">
        <f>'приложение 1.1 2016-2017 ген'!E28</f>
        <v>2013</v>
      </c>
      <c r="J24" s="268">
        <f>'приложение 1.2 2016-2017 ген'!C23</f>
        <v>2016</v>
      </c>
      <c r="K24" s="361" t="s">
        <v>341</v>
      </c>
      <c r="L24" s="361" t="s">
        <v>318</v>
      </c>
      <c r="M24" s="361" t="s">
        <v>318</v>
      </c>
      <c r="N24" s="370" t="s">
        <v>318</v>
      </c>
      <c r="O24" s="206"/>
      <c r="P24" s="206"/>
      <c r="Q24" s="205">
        <f>'приложение 1.1 2016-2017 ген'!G28</f>
        <v>1000</v>
      </c>
      <c r="R24" s="206"/>
      <c r="S24" s="206"/>
      <c r="T24" s="206"/>
      <c r="U24" s="351" t="s">
        <v>317</v>
      </c>
      <c r="V24" s="60"/>
      <c r="W24" s="295"/>
      <c r="X24" s="184"/>
      <c r="Y24" s="184"/>
      <c r="Z24" s="184"/>
      <c r="AA24" s="184"/>
    </row>
    <row r="25" spans="1:23" ht="60.75" thickBot="1">
      <c r="A25" s="62">
        <v>3</v>
      </c>
      <c r="B25" s="352" t="str">
        <f>'приложение 1.1 2016-2017 ген'!B29</f>
        <v>Реконструкция системы освещения ДЭС-5</v>
      </c>
      <c r="C25" s="359" t="s">
        <v>0</v>
      </c>
      <c r="D25" s="353" t="s">
        <v>1</v>
      </c>
      <c r="E25" s="354"/>
      <c r="F25" s="61"/>
      <c r="G25" s="61"/>
      <c r="H25" s="62"/>
      <c r="I25" s="355">
        <f>'приложение 1.1 2016-2017 ген'!E29</f>
        <v>2015</v>
      </c>
      <c r="J25" s="444"/>
      <c r="K25" s="362" t="s">
        <v>318</v>
      </c>
      <c r="L25" s="362" t="s">
        <v>318</v>
      </c>
      <c r="M25" s="362" t="s">
        <v>318</v>
      </c>
      <c r="N25" s="362" t="s">
        <v>318</v>
      </c>
      <c r="O25" s="357"/>
      <c r="P25" s="357"/>
      <c r="Q25" s="356">
        <f>'приложение 1.1 2016-2017 ген'!G29</f>
        <v>467</v>
      </c>
      <c r="R25" s="357"/>
      <c r="S25" s="357"/>
      <c r="T25" s="357"/>
      <c r="U25" s="364" t="s">
        <v>277</v>
      </c>
      <c r="V25" s="62"/>
      <c r="W25" s="62"/>
    </row>
    <row r="26" spans="2:27" ht="76.5" customHeight="1" hidden="1">
      <c r="B26" s="636" t="s">
        <v>98</v>
      </c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</row>
    <row r="27" ht="15" hidden="1">
      <c r="B27" s="53" t="s">
        <v>99</v>
      </c>
    </row>
    <row r="28" ht="15" hidden="1">
      <c r="B28" s="53" t="s">
        <v>100</v>
      </c>
    </row>
    <row r="29" ht="15" hidden="1">
      <c r="B29" s="53" t="s">
        <v>101</v>
      </c>
    </row>
    <row r="30" ht="15" hidden="1"/>
    <row r="36" spans="2:21" s="312" customFormat="1" ht="18.75">
      <c r="B36" s="635" t="s">
        <v>230</v>
      </c>
      <c r="C36" s="635"/>
      <c r="D36" s="635"/>
      <c r="E36" s="635"/>
      <c r="F36" s="635"/>
      <c r="G36" s="635"/>
      <c r="H36" s="635"/>
      <c r="I36" s="635"/>
      <c r="J36" s="635"/>
      <c r="K36" s="222"/>
      <c r="L36" s="553"/>
      <c r="M36" s="553"/>
      <c r="N36" s="222"/>
      <c r="O36" s="222"/>
      <c r="P36" s="222"/>
      <c r="Q36" s="554"/>
      <c r="R36" s="222"/>
      <c r="S36" s="604" t="s">
        <v>231</v>
      </c>
      <c r="T36" s="604"/>
      <c r="U36" s="222"/>
    </row>
  </sheetData>
  <sheetProtection/>
  <mergeCells count="44">
    <mergeCell ref="A20:T20"/>
    <mergeCell ref="J17:J18"/>
    <mergeCell ref="L17:L18"/>
    <mergeCell ref="S17:S18"/>
    <mergeCell ref="O16:O18"/>
    <mergeCell ref="R17:R18"/>
    <mergeCell ref="Q17:Q18"/>
    <mergeCell ref="E17:E18"/>
    <mergeCell ref="X16:AA16"/>
    <mergeCell ref="U16:W16"/>
    <mergeCell ref="H16:H18"/>
    <mergeCell ref="M17:M18"/>
    <mergeCell ref="A12:W12"/>
    <mergeCell ref="D16:D18"/>
    <mergeCell ref="I16:J16"/>
    <mergeCell ref="G17:G18"/>
    <mergeCell ref="I17:I18"/>
    <mergeCell ref="V17:V18"/>
    <mergeCell ref="P16:P18"/>
    <mergeCell ref="A16:A18"/>
    <mergeCell ref="C16:C18"/>
    <mergeCell ref="V6:W6"/>
    <mergeCell ref="V7:W7"/>
    <mergeCell ref="K16:N16"/>
    <mergeCell ref="B26:AA26"/>
    <mergeCell ref="Z17:AA17"/>
    <mergeCell ref="X17:Y17"/>
    <mergeCell ref="K17:K18"/>
    <mergeCell ref="A21:B21"/>
    <mergeCell ref="B16:B18"/>
    <mergeCell ref="N17:N18"/>
    <mergeCell ref="E16:G16"/>
    <mergeCell ref="F17:F18"/>
    <mergeCell ref="W17:W18"/>
    <mergeCell ref="V5:W5"/>
    <mergeCell ref="R8:W8"/>
    <mergeCell ref="V10:W10"/>
    <mergeCell ref="A13:W13"/>
    <mergeCell ref="S36:T36"/>
    <mergeCell ref="U17:U18"/>
    <mergeCell ref="T17:T18"/>
    <mergeCell ref="Q16:R16"/>
    <mergeCell ref="S16:T16"/>
    <mergeCell ref="B36:J36"/>
  </mergeCells>
  <printOptions/>
  <pageMargins left="0.2362204724409449" right="0.15748031496062992" top="0.4724409448818898" bottom="0.2755905511811024" header="0.31496062992125984" footer="0.31496062992125984"/>
  <pageSetup fitToHeight="0" fitToWidth="0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0" zoomScaleSheetLayoutView="70" zoomScalePageLayoutView="0" workbookViewId="0" topLeftCell="A4">
      <selection activeCell="D34" sqref="D34"/>
    </sheetView>
  </sheetViews>
  <sheetFormatPr defaultColWidth="9.00390625" defaultRowHeight="15.75"/>
  <cols>
    <col min="1" max="1" width="9.00390625" style="2" customWidth="1"/>
    <col min="2" max="2" width="55.00390625" style="2" customWidth="1"/>
    <col min="3" max="3" width="15.875" style="2" customWidth="1"/>
    <col min="4" max="4" width="16.875" style="2" customWidth="1"/>
    <col min="5" max="5" width="16.00390625" style="2" hidden="1" customWidth="1"/>
    <col min="6" max="6" width="56.75390625" style="2" hidden="1" customWidth="1"/>
    <col min="7" max="10" width="9.00390625" style="2" customWidth="1"/>
    <col min="11" max="11" width="13.00390625" style="2" customWidth="1"/>
    <col min="12" max="16384" width="9.00390625" style="2" customWidth="1"/>
  </cols>
  <sheetData>
    <row r="1" spans="3:4" ht="20.25">
      <c r="C1" s="568" t="s">
        <v>526</v>
      </c>
      <c r="D1" s="648"/>
    </row>
    <row r="2" spans="4:6" ht="20.25">
      <c r="D2" s="114" t="s">
        <v>7</v>
      </c>
      <c r="F2" s="3"/>
    </row>
    <row r="3" spans="1:10" ht="15.7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5" ht="20.25">
      <c r="A4" s="603" t="s">
        <v>280</v>
      </c>
      <c r="B4" s="569"/>
      <c r="E4" s="113"/>
    </row>
    <row r="5" spans="1:5" ht="20.25">
      <c r="A5" s="159"/>
      <c r="B5" s="130"/>
      <c r="E5" s="113"/>
    </row>
    <row r="6" spans="1:5" ht="20.25">
      <c r="A6" s="159"/>
      <c r="B6" s="130"/>
      <c r="D6" s="114" t="s">
        <v>9</v>
      </c>
      <c r="E6" s="113"/>
    </row>
    <row r="7" spans="4:5" ht="20.25">
      <c r="D7" s="114" t="s">
        <v>416</v>
      </c>
      <c r="E7" s="113"/>
    </row>
    <row r="8" spans="4:5" ht="20.25">
      <c r="D8" s="114"/>
      <c r="E8" s="113"/>
    </row>
    <row r="9" spans="2:6" ht="20.25" customHeight="1">
      <c r="B9" s="566" t="s">
        <v>315</v>
      </c>
      <c r="C9" s="566"/>
      <c r="D9" s="566"/>
      <c r="E9" s="128"/>
      <c r="F9" s="128"/>
    </row>
    <row r="10" spans="4:5" ht="20.25">
      <c r="D10" s="114" t="s">
        <v>10</v>
      </c>
      <c r="E10" s="113"/>
    </row>
    <row r="11" spans="3:5" ht="20.25">
      <c r="C11" s="568" t="s">
        <v>11</v>
      </c>
      <c r="D11" s="620"/>
      <c r="E11" s="113"/>
    </row>
    <row r="12" spans="3:5" ht="20.25">
      <c r="C12" s="114"/>
      <c r="D12" s="131"/>
      <c r="E12" s="113"/>
    </row>
    <row r="13" spans="3:5" ht="20.25">
      <c r="C13" s="114"/>
      <c r="D13" s="131"/>
      <c r="E13" s="113"/>
    </row>
    <row r="14" spans="3:5" ht="20.25">
      <c r="C14" s="204"/>
      <c r="D14" s="83"/>
      <c r="E14" s="113"/>
    </row>
    <row r="15" spans="1:10" ht="18.75">
      <c r="A15" s="650" t="s">
        <v>535</v>
      </c>
      <c r="B15" s="650"/>
      <c r="C15" s="650"/>
      <c r="D15" s="650"/>
      <c r="E15" s="129"/>
      <c r="F15" s="129"/>
      <c r="G15" s="64"/>
      <c r="H15" s="64"/>
      <c r="I15" s="64"/>
      <c r="J15" s="64"/>
    </row>
    <row r="16" spans="1:10" ht="18.75">
      <c r="A16" s="650" t="s">
        <v>531</v>
      </c>
      <c r="B16" s="650"/>
      <c r="C16" s="650"/>
      <c r="D16" s="650"/>
      <c r="E16" s="129"/>
      <c r="F16" s="129"/>
      <c r="G16" s="64"/>
      <c r="H16" s="64"/>
      <c r="I16" s="64"/>
      <c r="J16" s="64"/>
    </row>
    <row r="17" spans="4:5" ht="21" thickBot="1">
      <c r="D17" s="114"/>
      <c r="E17" s="113"/>
    </row>
    <row r="18" spans="1:6" ht="28.5" customHeight="1">
      <c r="A18" s="575" t="s">
        <v>104</v>
      </c>
      <c r="B18" s="575" t="s">
        <v>245</v>
      </c>
      <c r="C18" s="575" t="s">
        <v>465</v>
      </c>
      <c r="D18" s="575"/>
      <c r="E18" s="652" t="s">
        <v>105</v>
      </c>
      <c r="F18" s="655" t="s">
        <v>106</v>
      </c>
    </row>
    <row r="19" spans="1:6" ht="28.5" customHeight="1">
      <c r="A19" s="575"/>
      <c r="B19" s="575"/>
      <c r="C19" s="575"/>
      <c r="D19" s="575"/>
      <c r="E19" s="653"/>
      <c r="F19" s="656"/>
    </row>
    <row r="20" spans="1:6" ht="33.75" customHeight="1">
      <c r="A20" s="575"/>
      <c r="B20" s="575"/>
      <c r="C20" s="65" t="s">
        <v>515</v>
      </c>
      <c r="D20" s="65" t="s">
        <v>516</v>
      </c>
      <c r="E20" s="654"/>
      <c r="F20" s="657"/>
    </row>
    <row r="21" spans="1:6" ht="15.75">
      <c r="A21" s="6">
        <v>1</v>
      </c>
      <c r="B21" s="6">
        <v>2</v>
      </c>
      <c r="C21" s="65">
        <v>3</v>
      </c>
      <c r="D21" s="65">
        <v>4</v>
      </c>
      <c r="E21" s="66">
        <v>5</v>
      </c>
      <c r="F21" s="8">
        <v>6</v>
      </c>
    </row>
    <row r="22" spans="1:6" ht="15.75" hidden="1">
      <c r="A22" s="67"/>
      <c r="B22" s="127"/>
      <c r="C22" s="132"/>
      <c r="D22" s="132"/>
      <c r="E22" s="67"/>
      <c r="F22" s="165"/>
    </row>
    <row r="23" spans="1:6" ht="15.75" hidden="1">
      <c r="A23" s="658" t="e">
        <f>'приложение 1.2 2016-2017 ген'!#REF!</f>
        <v>#REF!</v>
      </c>
      <c r="B23" s="659"/>
      <c r="C23" s="659"/>
      <c r="D23" s="660"/>
      <c r="E23" s="67"/>
      <c r="F23" s="165"/>
    </row>
    <row r="24" spans="1:6" ht="21.75" customHeight="1">
      <c r="A24" s="437">
        <v>1</v>
      </c>
      <c r="B24" s="438" t="str">
        <f>'приложение 2.2 2016-2017 ген'!B22</f>
        <v>Реконструкция здания ДЭС-5, в т.ч.:</v>
      </c>
      <c r="C24" s="439"/>
      <c r="D24" s="439"/>
      <c r="E24" s="68"/>
      <c r="F24" s="26"/>
    </row>
    <row r="25" spans="1:5" s="26" customFormat="1" ht="21.75" customHeight="1">
      <c r="A25" s="367" t="str">
        <f>'приложение 2.2 2016-2017 ген'!A23</f>
        <v>-</v>
      </c>
      <c r="B25" s="368" t="str">
        <f>'приложение 1.1 2016-2017 ген'!B27</f>
        <v>Реконструкция градирни</v>
      </c>
      <c r="C25" s="366" t="s">
        <v>351</v>
      </c>
      <c r="D25" s="366" t="s">
        <v>363</v>
      </c>
      <c r="E25" s="68"/>
    </row>
    <row r="26" spans="1:5" s="26" customFormat="1" ht="21" customHeight="1">
      <c r="A26" s="369">
        <v>2</v>
      </c>
      <c r="B26" s="368" t="str">
        <f>'приложение 1.1 2016-2017 ген'!B28</f>
        <v>Установка молниеотвода склада ГСМ ДЭС-5</v>
      </c>
      <c r="C26" s="366" t="s">
        <v>427</v>
      </c>
      <c r="D26" s="366" t="s">
        <v>550</v>
      </c>
      <c r="E26" s="68"/>
    </row>
    <row r="27" spans="1:5" s="26" customFormat="1" ht="21.75" customHeight="1">
      <c r="A27" s="365">
        <v>3</v>
      </c>
      <c r="B27" s="368" t="str">
        <f>'приложение 1.1 2016-2017 ген'!B29</f>
        <v>Реконструкция системы освещения ДЭС-5</v>
      </c>
      <c r="C27" s="366"/>
      <c r="D27" s="366"/>
      <c r="E27" s="68"/>
    </row>
    <row r="28" spans="1:5" s="26" customFormat="1" ht="15.75" hidden="1">
      <c r="A28" s="14"/>
      <c r="B28" s="17"/>
      <c r="C28" s="132"/>
      <c r="D28" s="132"/>
      <c r="E28" s="68"/>
    </row>
    <row r="29" spans="1:5" s="26" customFormat="1" ht="15.75" hidden="1">
      <c r="A29" s="285"/>
      <c r="B29" s="265"/>
      <c r="C29" s="132"/>
      <c r="D29" s="132"/>
      <c r="E29" s="68"/>
    </row>
    <row r="30" spans="1:5" s="26" customFormat="1" ht="15.75" hidden="1">
      <c r="A30" s="285"/>
      <c r="B30" s="265"/>
      <c r="C30" s="132"/>
      <c r="D30" s="132"/>
      <c r="E30" s="68"/>
    </row>
    <row r="31" spans="1:5" s="26" customFormat="1" ht="15.75">
      <c r="A31" s="440"/>
      <c r="B31" s="434"/>
      <c r="C31" s="441"/>
      <c r="D31" s="441"/>
      <c r="E31" s="68"/>
    </row>
    <row r="32" spans="1:6" s="26" customFormat="1" ht="15.75">
      <c r="A32" s="651" t="s">
        <v>514</v>
      </c>
      <c r="B32" s="651"/>
      <c r="C32" s="651"/>
      <c r="D32" s="651"/>
      <c r="E32" s="651"/>
      <c r="F32" s="651"/>
    </row>
    <row r="33" spans="1:6" s="26" customFormat="1" ht="15.75">
      <c r="A33" s="125"/>
      <c r="B33" s="125"/>
      <c r="C33" s="125"/>
      <c r="D33" s="125"/>
      <c r="E33" s="125"/>
      <c r="F33" s="125"/>
    </row>
    <row r="34" spans="1:6" s="26" customFormat="1" ht="15.75">
      <c r="A34" s="125"/>
      <c r="B34" s="125"/>
      <c r="C34" s="125"/>
      <c r="D34" s="125"/>
      <c r="E34" s="125"/>
      <c r="F34" s="125"/>
    </row>
    <row r="35" spans="1:5" ht="15.75">
      <c r="A35" s="26"/>
      <c r="B35" s="649"/>
      <c r="C35" s="649"/>
      <c r="D35" s="69"/>
      <c r="E35" s="70"/>
    </row>
    <row r="36" spans="1:8" ht="51" customHeight="1">
      <c r="A36" s="607" t="s">
        <v>230</v>
      </c>
      <c r="B36" s="607"/>
      <c r="C36" s="220"/>
      <c r="D36" s="199" t="s">
        <v>231</v>
      </c>
      <c r="F36" s="130"/>
      <c r="G36" s="83"/>
      <c r="H36" s="83"/>
    </row>
  </sheetData>
  <sheetProtection/>
  <mergeCells count="15">
    <mergeCell ref="A36:B36"/>
    <mergeCell ref="C18:D19"/>
    <mergeCell ref="A32:F32"/>
    <mergeCell ref="A18:A20"/>
    <mergeCell ref="B18:B20"/>
    <mergeCell ref="E18:E20"/>
    <mergeCell ref="F18:F20"/>
    <mergeCell ref="A23:D23"/>
    <mergeCell ref="A4:B4"/>
    <mergeCell ref="C11:D11"/>
    <mergeCell ref="C1:D1"/>
    <mergeCell ref="B9:D9"/>
    <mergeCell ref="B35:C35"/>
    <mergeCell ref="A15:D15"/>
    <mergeCell ref="A16:D16"/>
  </mergeCells>
  <printOptions/>
  <pageMargins left="0.7" right="0.7" top="0.75" bottom="0.75" header="0.3" footer="0.3"/>
  <pageSetup fitToHeight="0" fitToWidth="0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SheetLayoutView="70" zoomScalePageLayoutView="0" workbookViewId="0" topLeftCell="A1">
      <selection activeCell="R26" sqref="R26"/>
    </sheetView>
  </sheetViews>
  <sheetFormatPr defaultColWidth="9.00390625" defaultRowHeight="15.75"/>
  <cols>
    <col min="1" max="1" width="9.00390625" style="2" customWidth="1"/>
    <col min="2" max="2" width="48.50390625" style="2" customWidth="1"/>
    <col min="3" max="3" width="13.875" style="2" customWidth="1"/>
    <col min="4" max="4" width="17.25390625" style="2" bestFit="1" customWidth="1"/>
    <col min="5" max="6" width="12.50390625" style="2" customWidth="1"/>
    <col min="7" max="7" width="11.50390625" style="2" customWidth="1"/>
    <col min="8" max="8" width="19.375" style="2" customWidth="1"/>
    <col min="9" max="9" width="9.00390625" style="2" hidden="1" customWidth="1"/>
    <col min="10" max="11" width="5.50390625" style="2" hidden="1" customWidth="1"/>
    <col min="12" max="12" width="12.25390625" style="2" customWidth="1"/>
    <col min="13" max="13" width="12.125" style="2" customWidth="1"/>
    <col min="14" max="14" width="9.00390625" style="2" hidden="1" customWidth="1"/>
    <col min="15" max="16384" width="9.00390625" style="2" customWidth="1"/>
  </cols>
  <sheetData>
    <row r="1" spans="3:14" ht="20.25">
      <c r="C1" s="3"/>
      <c r="K1" s="671" t="s">
        <v>527</v>
      </c>
      <c r="L1" s="671"/>
      <c r="M1" s="671"/>
      <c r="N1" s="620"/>
    </row>
    <row r="2" spans="5:13" ht="20.25">
      <c r="E2" s="3"/>
      <c r="F2" s="3"/>
      <c r="M2" s="114" t="s">
        <v>7</v>
      </c>
    </row>
    <row r="3" spans="1:13" ht="20.25">
      <c r="A3" s="214"/>
      <c r="B3" s="214"/>
      <c r="C3" s="214"/>
      <c r="D3" s="214"/>
      <c r="E3" s="213"/>
      <c r="F3" s="213"/>
      <c r="G3" s="213"/>
      <c r="H3" s="213"/>
      <c r="I3" s="213"/>
      <c r="J3" s="213"/>
      <c r="K3" s="213"/>
      <c r="L3" s="213"/>
      <c r="M3" s="213"/>
    </row>
    <row r="4" spans="1:10" ht="15.75" customHeight="1">
      <c r="A4" s="603" t="s">
        <v>280</v>
      </c>
      <c r="B4" s="569"/>
      <c r="C4" s="64"/>
      <c r="D4" s="64"/>
      <c r="E4" s="64"/>
      <c r="F4" s="64"/>
      <c r="G4" s="64"/>
      <c r="H4" s="64"/>
      <c r="I4" s="64"/>
      <c r="J4" s="64"/>
    </row>
    <row r="5" spans="1:10" ht="15.75" customHeight="1">
      <c r="A5" s="159"/>
      <c r="B5" s="130"/>
      <c r="C5" s="64"/>
      <c r="D5" s="64"/>
      <c r="E5" s="64"/>
      <c r="F5" s="64"/>
      <c r="G5" s="64"/>
      <c r="H5" s="64"/>
      <c r="I5" s="64"/>
      <c r="J5" s="64"/>
    </row>
    <row r="6" spans="10:14" ht="20.25">
      <c r="J6" s="568" t="s">
        <v>9</v>
      </c>
      <c r="K6" s="669"/>
      <c r="L6" s="669"/>
      <c r="M6" s="669"/>
      <c r="N6" s="669"/>
    </row>
    <row r="7" spans="8:14" ht="20.25">
      <c r="H7" s="568" t="s">
        <v>416</v>
      </c>
      <c r="I7" s="568"/>
      <c r="J7" s="568"/>
      <c r="K7" s="568"/>
      <c r="L7" s="568"/>
      <c r="M7" s="568"/>
      <c r="N7" s="568"/>
    </row>
    <row r="8" spans="10:14" ht="20.25">
      <c r="J8" s="670"/>
      <c r="K8" s="669"/>
      <c r="L8" s="669"/>
      <c r="M8" s="669"/>
      <c r="N8" s="669"/>
    </row>
    <row r="9" spans="5:14" ht="20.25" customHeight="1">
      <c r="E9" s="128"/>
      <c r="G9" s="566" t="s">
        <v>364</v>
      </c>
      <c r="H9" s="566"/>
      <c r="I9" s="566"/>
      <c r="J9" s="566"/>
      <c r="K9" s="566"/>
      <c r="L9" s="566"/>
      <c r="M9" s="566"/>
      <c r="N9" s="566"/>
    </row>
    <row r="10" spans="5:13" ht="20.25">
      <c r="E10" s="113"/>
      <c r="M10" s="114" t="s">
        <v>10</v>
      </c>
    </row>
    <row r="11" spans="10:12" ht="20.25">
      <c r="J11" s="210"/>
      <c r="K11" s="210"/>
      <c r="L11" s="210"/>
    </row>
    <row r="12" spans="10:13" ht="20.25">
      <c r="J12" s="210"/>
      <c r="K12" s="210"/>
      <c r="M12" s="114" t="s">
        <v>11</v>
      </c>
    </row>
    <row r="13" spans="10:13" ht="20.25">
      <c r="J13" s="210"/>
      <c r="K13" s="210"/>
      <c r="M13" s="114"/>
    </row>
    <row r="14" spans="1:14" ht="20.25" customHeight="1">
      <c r="A14" s="668" t="s">
        <v>536</v>
      </c>
      <c r="B14" s="668"/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130"/>
    </row>
    <row r="15" spans="1:14" ht="20.25" customHeight="1">
      <c r="A15" s="668" t="s">
        <v>531</v>
      </c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130"/>
    </row>
    <row r="16" spans="12:13" ht="20.25">
      <c r="L16" s="114"/>
      <c r="M16" s="114"/>
    </row>
    <row r="17" spans="12:13" ht="15.75">
      <c r="L17" s="661" t="s">
        <v>506</v>
      </c>
      <c r="M17" s="661"/>
    </row>
    <row r="18" spans="1:14" ht="28.5" customHeight="1">
      <c r="A18" s="575" t="s">
        <v>104</v>
      </c>
      <c r="B18" s="575" t="s">
        <v>245</v>
      </c>
      <c r="C18" s="575" t="s">
        <v>258</v>
      </c>
      <c r="D18" s="575"/>
      <c r="E18" s="575" t="s">
        <v>262</v>
      </c>
      <c r="F18" s="575" t="s">
        <v>260</v>
      </c>
      <c r="G18" s="575" t="s">
        <v>261</v>
      </c>
      <c r="H18" s="575" t="s">
        <v>263</v>
      </c>
      <c r="I18" s="455" t="s">
        <v>429</v>
      </c>
      <c r="J18" s="458"/>
      <c r="K18" s="662" t="s">
        <v>429</v>
      </c>
      <c r="L18" s="663"/>
      <c r="M18" s="664"/>
      <c r="N18" s="456"/>
    </row>
    <row r="19" spans="1:14" ht="28.5" customHeight="1">
      <c r="A19" s="575"/>
      <c r="B19" s="575"/>
      <c r="C19" s="575"/>
      <c r="D19" s="575"/>
      <c r="E19" s="575"/>
      <c r="F19" s="575"/>
      <c r="G19" s="575"/>
      <c r="H19" s="575"/>
      <c r="I19" s="459"/>
      <c r="J19" s="460"/>
      <c r="K19" s="665"/>
      <c r="L19" s="666"/>
      <c r="M19" s="667"/>
      <c r="N19" s="457"/>
    </row>
    <row r="20" spans="1:14" ht="31.5" customHeight="1">
      <c r="A20" s="575"/>
      <c r="B20" s="575"/>
      <c r="C20" s="65" t="s">
        <v>107</v>
      </c>
      <c r="D20" s="65" t="s">
        <v>108</v>
      </c>
      <c r="E20" s="575"/>
      <c r="F20" s="575"/>
      <c r="G20" s="575"/>
      <c r="H20" s="575"/>
      <c r="I20" s="6">
        <v>2013</v>
      </c>
      <c r="J20" s="453">
        <v>2014</v>
      </c>
      <c r="K20" s="6">
        <v>2015</v>
      </c>
      <c r="L20" s="6" t="s">
        <v>505</v>
      </c>
      <c r="M20" s="6" t="s">
        <v>450</v>
      </c>
      <c r="N20" s="454">
        <v>2018</v>
      </c>
    </row>
    <row r="21" spans="1:14" ht="15.75">
      <c r="A21" s="6">
        <v>1</v>
      </c>
      <c r="B21" s="6">
        <v>2</v>
      </c>
      <c r="C21" s="65">
        <v>3</v>
      </c>
      <c r="D21" s="65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453">
        <v>10</v>
      </c>
      <c r="K21" s="6">
        <v>9</v>
      </c>
      <c r="L21" s="6">
        <v>9</v>
      </c>
      <c r="M21" s="6">
        <v>10</v>
      </c>
      <c r="N21" s="454">
        <v>14</v>
      </c>
    </row>
    <row r="22" spans="1:14" ht="15.75">
      <c r="A22" s="231">
        <v>1</v>
      </c>
      <c r="B22" s="277" t="str">
        <f>'приложение 1.1 2016-2017 ген'!B27</f>
        <v>Реконструкция градирни</v>
      </c>
      <c r="C22" s="232" t="str">
        <f>'приложение 3.1. 2016-2017 ген'!C25</f>
        <v>01.01.2018 г.</v>
      </c>
      <c r="D22" s="232" t="str">
        <f>'приложение 3.1. 2016-2017 ген'!D25</f>
        <v>31.03.2018 г.</v>
      </c>
      <c r="E22" s="233">
        <f>'приложение 1.1 2016-2017 ген'!Y27/1.18</f>
        <v>2033.898305084746</v>
      </c>
      <c r="F22" s="93">
        <v>12</v>
      </c>
      <c r="G22" s="266">
        <f>1/F22*100</f>
        <v>8.333333333333332</v>
      </c>
      <c r="H22" s="93">
        <v>9</v>
      </c>
      <c r="I22" s="154"/>
      <c r="J22" s="461"/>
      <c r="K22" s="233"/>
      <c r="L22" s="233"/>
      <c r="M22" s="233">
        <f>ROUND(G22/100*(E22-I22-J22-K22-L22),0)/12*9</f>
        <v>126.75</v>
      </c>
      <c r="N22" s="463">
        <f>(ROUND(G22/100*(E22-I22-J22-K22-L22-M22),0))</f>
        <v>159</v>
      </c>
    </row>
    <row r="23" spans="1:14" ht="15.75">
      <c r="A23" s="231">
        <v>2</v>
      </c>
      <c r="B23" s="277" t="str">
        <f>'приложение 1.1 2016-2017 ген'!B28</f>
        <v>Установка молниеотвода склада ГСМ ДЭС-5</v>
      </c>
      <c r="C23" s="232" t="str">
        <f>'приложение 3.1. 2016-2017 ген'!C26</f>
        <v>01.10.2016 г.</v>
      </c>
      <c r="D23" s="232" t="str">
        <f>'приложение 3.1. 2016-2017 ген'!D26</f>
        <v>31.10.2016 г.</v>
      </c>
      <c r="E23" s="233">
        <f>'приложение 1.1 2016-2017 ген'!G28</f>
        <v>1000</v>
      </c>
      <c r="F23" s="93">
        <v>3</v>
      </c>
      <c r="G23" s="266">
        <f>1/F23*100</f>
        <v>33.33333333333333</v>
      </c>
      <c r="H23" s="93">
        <v>2</v>
      </c>
      <c r="I23" s="78"/>
      <c r="J23" s="461">
        <v>126.5</v>
      </c>
      <c r="K23" s="233"/>
      <c r="L23" s="233">
        <v>54.05406</v>
      </c>
      <c r="M23" s="233">
        <v>324.32432</v>
      </c>
      <c r="N23" s="463">
        <f>(ROUND(G23/100*(E23-I23-J23-K23-L23-M23),0))</f>
        <v>165</v>
      </c>
    </row>
    <row r="24" spans="1:14" ht="15.75">
      <c r="A24" s="231">
        <v>3</v>
      </c>
      <c r="B24" s="277" t="str">
        <f>'приложение 1.1 2016-2017 ген'!B29</f>
        <v>Реконструкция системы освещения ДЭС-5</v>
      </c>
      <c r="C24" s="232"/>
      <c r="D24" s="232"/>
      <c r="E24" s="233"/>
      <c r="F24" s="93"/>
      <c r="G24" s="266"/>
      <c r="H24" s="93"/>
      <c r="I24" s="154"/>
      <c r="J24" s="461"/>
      <c r="K24" s="233"/>
      <c r="L24" s="233"/>
      <c r="M24" s="233"/>
      <c r="N24" s="463">
        <f>ROUND(G24/100*(E24-I24-J24-K24-L24-M24),0)/12*9</f>
        <v>0</v>
      </c>
    </row>
    <row r="25" spans="1:14" ht="15.75">
      <c r="A25" s="231">
        <v>4</v>
      </c>
      <c r="B25" s="277" t="s">
        <v>503</v>
      </c>
      <c r="C25" s="232" t="s">
        <v>504</v>
      </c>
      <c r="D25" s="232" t="s">
        <v>426</v>
      </c>
      <c r="E25" s="233">
        <f>142.112+50.508+28.8+31.05</f>
        <v>252.47000000000003</v>
      </c>
      <c r="F25" s="93"/>
      <c r="G25" s="266"/>
      <c r="H25" s="93"/>
      <c r="I25" s="154"/>
      <c r="J25" s="461"/>
      <c r="K25" s="233"/>
      <c r="L25" s="233">
        <f>16.3079+7.452+3.77704+4.58118</f>
        <v>32.118120000000005</v>
      </c>
      <c r="M25" s="233">
        <f>((142112+50508+28800+31050)/61*12)/1000</f>
        <v>49.666229508196714</v>
      </c>
      <c r="N25" s="463"/>
    </row>
    <row r="26" spans="1:15" s="150" customFormat="1" ht="22.5" customHeight="1">
      <c r="A26" s="65"/>
      <c r="B26" s="147" t="s">
        <v>259</v>
      </c>
      <c r="C26" s="65"/>
      <c r="D26" s="65"/>
      <c r="E26" s="267">
        <f>SUM(E22:E25)</f>
        <v>3286.3683050847458</v>
      </c>
      <c r="F26" s="149"/>
      <c r="G26" s="149"/>
      <c r="H26" s="149"/>
      <c r="I26" s="267">
        <f aca="true" t="shared" si="0" ref="I26:N26">SUM(I22:I25)</f>
        <v>0</v>
      </c>
      <c r="J26" s="462">
        <f t="shared" si="0"/>
        <v>126.5</v>
      </c>
      <c r="K26" s="267">
        <f t="shared" si="0"/>
        <v>0</v>
      </c>
      <c r="L26" s="267">
        <f t="shared" si="0"/>
        <v>86.17218</v>
      </c>
      <c r="M26" s="267">
        <f t="shared" si="0"/>
        <v>500.7405495081967</v>
      </c>
      <c r="N26" s="464">
        <f t="shared" si="0"/>
        <v>324</v>
      </c>
      <c r="O26" s="324"/>
    </row>
    <row r="27" spans="1:6" s="26" customFormat="1" ht="23.25" customHeight="1">
      <c r="A27" s="651"/>
      <c r="B27" s="651"/>
      <c r="C27" s="651"/>
      <c r="D27" s="651"/>
      <c r="E27" s="125"/>
      <c r="F27" s="125"/>
    </row>
    <row r="28" spans="1:6" s="26" customFormat="1" ht="15.75">
      <c r="A28" s="125"/>
      <c r="B28" s="125"/>
      <c r="C28" s="125"/>
      <c r="D28" s="125"/>
      <c r="E28" s="125"/>
      <c r="F28" s="125"/>
    </row>
    <row r="29" spans="1:6" s="26" customFormat="1" ht="15.75">
      <c r="A29" s="125"/>
      <c r="B29" s="125"/>
      <c r="C29" s="125"/>
      <c r="D29" s="125"/>
      <c r="E29" s="125"/>
      <c r="F29" s="125"/>
    </row>
    <row r="30" spans="1:13" ht="15.75">
      <c r="A30" s="26"/>
      <c r="B30" s="649"/>
      <c r="C30" s="649"/>
      <c r="D30" s="69"/>
      <c r="F30" s="269"/>
      <c r="J30" s="269"/>
      <c r="K30" s="269"/>
      <c r="L30" s="269"/>
      <c r="M30" s="269"/>
    </row>
    <row r="31" spans="1:12" ht="18.75">
      <c r="A31" s="635" t="s">
        <v>230</v>
      </c>
      <c r="B31" s="635"/>
      <c r="C31" s="635"/>
      <c r="D31" s="635"/>
      <c r="E31" s="635"/>
      <c r="F31" s="215"/>
      <c r="G31" s="220"/>
      <c r="H31" s="221"/>
      <c r="L31" s="199" t="s">
        <v>231</v>
      </c>
    </row>
  </sheetData>
  <sheetProtection/>
  <mergeCells count="20">
    <mergeCell ref="A31:E31"/>
    <mergeCell ref="A15:M15"/>
    <mergeCell ref="A14:M14"/>
    <mergeCell ref="J6:N6"/>
    <mergeCell ref="J8:N8"/>
    <mergeCell ref="K1:N1"/>
    <mergeCell ref="A4:B4"/>
    <mergeCell ref="G18:G20"/>
    <mergeCell ref="E18:E20"/>
    <mergeCell ref="H7:N7"/>
    <mergeCell ref="G9:N9"/>
    <mergeCell ref="L17:M17"/>
    <mergeCell ref="K18:M19"/>
    <mergeCell ref="H18:H20"/>
    <mergeCell ref="F18:F20"/>
    <mergeCell ref="B30:C30"/>
    <mergeCell ref="C18:D19"/>
    <mergeCell ref="A27:D27"/>
    <mergeCell ref="A18:A20"/>
    <mergeCell ref="B18:B20"/>
  </mergeCells>
  <printOptions/>
  <pageMargins left="0.1968503937007874" right="0.15748031496062992" top="0.7480314960629921" bottom="0.7480314960629921" header="0.31496062992125984" footer="0.31496062992125984"/>
  <pageSetup fitToHeight="0" fitToWidth="0" horizontalDpi="600" verticalDpi="600" orientation="landscape" paperSize="9" scale="80" r:id="rId1"/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I73"/>
  <sheetViews>
    <sheetView zoomScale="65" zoomScaleNormal="65" workbookViewId="0" topLeftCell="A5">
      <selection activeCell="N49" sqref="N49"/>
    </sheetView>
  </sheetViews>
  <sheetFormatPr defaultColWidth="9.00390625" defaultRowHeight="15.75"/>
  <cols>
    <col min="1" max="1" width="11.00390625" style="1" bestFit="1" customWidth="1"/>
    <col min="2" max="2" width="41.25390625" style="1" customWidth="1"/>
    <col min="3" max="3" width="12.625" style="1" customWidth="1"/>
    <col min="4" max="4" width="16.125" style="2" customWidth="1"/>
    <col min="5" max="5" width="15.25390625" style="188" customWidth="1"/>
    <col min="6" max="6" width="16.00390625" style="188" customWidth="1"/>
    <col min="7" max="7" width="17.50390625" style="2" customWidth="1"/>
    <col min="8" max="8" width="16.00390625" style="2" customWidth="1"/>
    <col min="9" max="9" width="17.75390625" style="2" customWidth="1"/>
    <col min="10" max="10" width="11.875" style="1" hidden="1" customWidth="1"/>
    <col min="11" max="11" width="11.50390625" style="1" hidden="1" customWidth="1"/>
    <col min="12" max="12" width="11.625" style="1" hidden="1" customWidth="1"/>
    <col min="13" max="13" width="11.875" style="1" hidden="1" customWidth="1"/>
    <col min="14" max="14" width="11.875" style="1" customWidth="1"/>
    <col min="15" max="15" width="11.50390625" style="1" customWidth="1"/>
    <col min="16" max="16" width="11.75390625" style="1" customWidth="1"/>
    <col min="17" max="17" width="11.75390625" style="1" hidden="1" customWidth="1"/>
    <col min="18" max="18" width="13.375" style="1" customWidth="1"/>
    <col min="19" max="19" width="10.50390625" style="1" hidden="1" customWidth="1"/>
    <col min="20" max="21" width="10.625" style="1" hidden="1" customWidth="1"/>
    <col min="22" max="23" width="10.625" style="1" customWidth="1"/>
    <col min="24" max="24" width="11.00390625" style="1" hidden="1" customWidth="1"/>
    <col min="25" max="25" width="10.625" style="1" customWidth="1"/>
    <col min="26" max="16384" width="9.00390625" style="1" customWidth="1"/>
  </cols>
  <sheetData>
    <row r="1" spans="22:25" ht="20.25">
      <c r="V1" s="568" t="s">
        <v>528</v>
      </c>
      <c r="W1" s="648"/>
      <c r="X1" s="648"/>
      <c r="Y1" s="648"/>
    </row>
    <row r="2" spans="2:25" ht="2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4" t="s">
        <v>7</v>
      </c>
    </row>
    <row r="3" spans="1:25" ht="18.75">
      <c r="A3" s="674" t="s">
        <v>276</v>
      </c>
      <c r="B3" s="67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3:25" ht="20.25">
      <c r="W5" s="568" t="s">
        <v>9</v>
      </c>
      <c r="X5" s="569"/>
      <c r="Y5" s="569"/>
    </row>
    <row r="6" spans="16:25" ht="20.25">
      <c r="P6" s="568" t="s">
        <v>416</v>
      </c>
      <c r="Q6" s="568"/>
      <c r="R6" s="568"/>
      <c r="S6" s="568"/>
      <c r="T6" s="568"/>
      <c r="U6" s="568"/>
      <c r="V6" s="568"/>
      <c r="W6" s="568"/>
      <c r="X6" s="568"/>
      <c r="Y6" s="568"/>
    </row>
    <row r="7" spans="22:25" ht="18.75">
      <c r="V7" s="672"/>
      <c r="W7" s="673"/>
      <c r="X7" s="673"/>
      <c r="Y7" s="673"/>
    </row>
    <row r="8" spans="16:25" ht="22.5" customHeight="1">
      <c r="P8" s="566" t="s">
        <v>315</v>
      </c>
      <c r="Q8" s="566"/>
      <c r="R8" s="566"/>
      <c r="S8" s="566"/>
      <c r="T8" s="566"/>
      <c r="U8" s="566"/>
      <c r="V8" s="566"/>
      <c r="W8" s="566"/>
      <c r="X8" s="566"/>
      <c r="Y8" s="566"/>
    </row>
    <row r="9" spans="6:25" ht="20.25">
      <c r="F9" s="301"/>
      <c r="W9" s="113"/>
      <c r="X9" s="113"/>
      <c r="Y9" s="114" t="s">
        <v>10</v>
      </c>
    </row>
    <row r="10" spans="23:25" ht="20.25">
      <c r="W10" s="113"/>
      <c r="X10" s="113"/>
      <c r="Y10" s="114" t="s">
        <v>11</v>
      </c>
    </row>
    <row r="11" spans="23:25" ht="20.25">
      <c r="W11" s="113"/>
      <c r="X11" s="113"/>
      <c r="Y11" s="114"/>
    </row>
    <row r="12" spans="1:25" ht="20.25" customHeight="1">
      <c r="A12" s="577" t="str">
        <f>'приложение 1.1 2016-2017 ген'!A13</f>
        <v>Перечень инвестиционных проектов на период реализации инвестиционной программы и план их финансирования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</row>
    <row r="13" spans="1:25" ht="20.25" customHeight="1">
      <c r="A13" s="577" t="str">
        <f>'приложение 1.1 2016-2017 ген'!A14</f>
        <v>на 2016-2017 годы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</row>
    <row r="14" spans="23:25" ht="20.25">
      <c r="W14" s="113"/>
      <c r="X14" s="113"/>
      <c r="Y14" s="114"/>
    </row>
    <row r="15" spans="23:25" ht="16.5" thickBot="1">
      <c r="W15" s="581" t="s">
        <v>306</v>
      </c>
      <c r="X15" s="581"/>
      <c r="Y15" s="581"/>
    </row>
    <row r="16" spans="1:25" ht="21" customHeight="1">
      <c r="A16" s="578" t="s">
        <v>12</v>
      </c>
      <c r="B16" s="574" t="s">
        <v>13</v>
      </c>
      <c r="C16" s="574" t="s">
        <v>14</v>
      </c>
      <c r="D16" s="574" t="s">
        <v>15</v>
      </c>
      <c r="E16" s="574" t="s">
        <v>419</v>
      </c>
      <c r="F16" s="574" t="s">
        <v>16</v>
      </c>
      <c r="G16" s="574" t="s">
        <v>233</v>
      </c>
      <c r="H16" s="574" t="s">
        <v>463</v>
      </c>
      <c r="I16" s="574" t="s">
        <v>464</v>
      </c>
      <c r="J16" s="567" t="s">
        <v>17</v>
      </c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73"/>
    </row>
    <row r="17" spans="1:25" ht="64.5" customHeight="1">
      <c r="A17" s="579"/>
      <c r="B17" s="575"/>
      <c r="C17" s="575"/>
      <c r="D17" s="575"/>
      <c r="E17" s="575"/>
      <c r="F17" s="575"/>
      <c r="G17" s="575"/>
      <c r="H17" s="575"/>
      <c r="I17" s="575"/>
      <c r="J17" s="7">
        <v>2011</v>
      </c>
      <c r="K17" s="7">
        <v>2013</v>
      </c>
      <c r="L17" s="7">
        <v>2014</v>
      </c>
      <c r="M17" s="7">
        <v>2015</v>
      </c>
      <c r="N17" s="7">
        <v>2016</v>
      </c>
      <c r="O17" s="7">
        <v>2017</v>
      </c>
      <c r="P17" s="7">
        <v>2018</v>
      </c>
      <c r="Q17" s="7">
        <v>2019</v>
      </c>
      <c r="R17" s="6" t="s">
        <v>18</v>
      </c>
      <c r="S17" s="7">
        <f>K17</f>
        <v>2013</v>
      </c>
      <c r="T17" s="7">
        <f>L17</f>
        <v>2014</v>
      </c>
      <c r="U17" s="7">
        <f>M17</f>
        <v>2015</v>
      </c>
      <c r="V17" s="7">
        <f>N17</f>
        <v>2016</v>
      </c>
      <c r="W17" s="7">
        <f>O17</f>
        <v>2017</v>
      </c>
      <c r="X17" s="7">
        <v>2018</v>
      </c>
      <c r="Y17" s="8" t="s">
        <v>18</v>
      </c>
    </row>
    <row r="18" spans="1:25" ht="35.25" customHeight="1">
      <c r="A18" s="579"/>
      <c r="B18" s="575"/>
      <c r="C18" s="14" t="s">
        <v>19</v>
      </c>
      <c r="D18" s="14" t="s">
        <v>20</v>
      </c>
      <c r="E18" s="575"/>
      <c r="F18" s="575"/>
      <c r="G18" s="14" t="s">
        <v>221</v>
      </c>
      <c r="H18" s="14" t="s">
        <v>221</v>
      </c>
      <c r="I18" s="14" t="s">
        <v>221</v>
      </c>
      <c r="J18" s="298" t="s">
        <v>20</v>
      </c>
      <c r="K18" s="298" t="s">
        <v>20</v>
      </c>
      <c r="L18" s="298" t="s">
        <v>20</v>
      </c>
      <c r="M18" s="298" t="s">
        <v>20</v>
      </c>
      <c r="N18" s="298" t="s">
        <v>20</v>
      </c>
      <c r="O18" s="298" t="s">
        <v>20</v>
      </c>
      <c r="P18" s="298" t="s">
        <v>20</v>
      </c>
      <c r="Q18" s="298" t="s">
        <v>20</v>
      </c>
      <c r="R18" s="443" t="s">
        <v>20</v>
      </c>
      <c r="S18" s="14" t="s">
        <v>221</v>
      </c>
      <c r="T18" s="14" t="s">
        <v>221</v>
      </c>
      <c r="U18" s="14" t="s">
        <v>221</v>
      </c>
      <c r="V18" s="14" t="s">
        <v>221</v>
      </c>
      <c r="W18" s="14" t="s">
        <v>221</v>
      </c>
      <c r="X18" s="14" t="s">
        <v>355</v>
      </c>
      <c r="Y18" s="299" t="s">
        <v>221</v>
      </c>
    </row>
    <row r="19" spans="1:25" ht="35.25" customHeight="1">
      <c r="A19" s="5"/>
      <c r="B19" s="6" t="s">
        <v>457</v>
      </c>
      <c r="C19" s="14"/>
      <c r="D19" s="14"/>
      <c r="E19" s="6"/>
      <c r="F19" s="6"/>
      <c r="G19" s="182">
        <v>142149</v>
      </c>
      <c r="H19" s="182">
        <f>W19</f>
        <v>17197</v>
      </c>
      <c r="I19" s="182">
        <f>W19</f>
        <v>17197</v>
      </c>
      <c r="J19" s="298"/>
      <c r="K19" s="298"/>
      <c r="L19" s="298"/>
      <c r="M19" s="298"/>
      <c r="N19" s="298"/>
      <c r="O19" s="298"/>
      <c r="P19" s="298"/>
      <c r="Q19" s="298"/>
      <c r="R19" s="443"/>
      <c r="S19" s="182">
        <v>0</v>
      </c>
      <c r="T19" s="182">
        <v>0</v>
      </c>
      <c r="U19" s="182">
        <v>0</v>
      </c>
      <c r="V19" s="182">
        <v>38030</v>
      </c>
      <c r="W19" s="182">
        <v>17197</v>
      </c>
      <c r="X19" s="182"/>
      <c r="Y19" s="275">
        <f>SUM(S19:W19)</f>
        <v>55227</v>
      </c>
    </row>
    <row r="20" spans="1:26" ht="36.75" customHeight="1">
      <c r="A20" s="5"/>
      <c r="B20" s="6" t="s">
        <v>458</v>
      </c>
      <c r="C20" s="6"/>
      <c r="D20" s="14"/>
      <c r="E20" s="6"/>
      <c r="F20" s="6"/>
      <c r="G20" s="182">
        <f>G21+G35+G41+G44</f>
        <v>130748.01018999999</v>
      </c>
      <c r="H20" s="182">
        <f>H21+H35+H41+H44</f>
        <v>12174</v>
      </c>
      <c r="I20" s="182">
        <f>I21+I35+I41+I44</f>
        <v>12174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>
        <f aca="true" t="shared" si="0" ref="S20:Y20">S21+S35+S41+S44</f>
        <v>0</v>
      </c>
      <c r="T20" s="182">
        <f t="shared" si="0"/>
        <v>0</v>
      </c>
      <c r="U20" s="182">
        <f t="shared" si="0"/>
        <v>0</v>
      </c>
      <c r="V20" s="182">
        <f t="shared" si="0"/>
        <v>30924.00354</v>
      </c>
      <c r="W20" s="182">
        <f t="shared" si="0"/>
        <v>12174</v>
      </c>
      <c r="X20" s="182" t="e">
        <f t="shared" si="0"/>
        <v>#REF!</v>
      </c>
      <c r="Y20" s="275">
        <f t="shared" si="0"/>
        <v>43098.00354</v>
      </c>
      <c r="Z20" s="111"/>
    </row>
    <row r="21" spans="1:25" ht="36" customHeight="1">
      <c r="A21" s="5">
        <v>1</v>
      </c>
      <c r="B21" s="6" t="s">
        <v>21</v>
      </c>
      <c r="C21" s="6"/>
      <c r="D21" s="6"/>
      <c r="E21" s="6"/>
      <c r="F21" s="6"/>
      <c r="G21" s="182">
        <f>G22+G32+G34</f>
        <v>99895.64709</v>
      </c>
      <c r="H21" s="182">
        <f>H22+H32+H34</f>
        <v>12174</v>
      </c>
      <c r="I21" s="182">
        <f>I22+I32+I34</f>
        <v>12174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>
        <f aca="true" t="shared" si="1" ref="S21:Y21">S22+S32+S34</f>
        <v>0</v>
      </c>
      <c r="T21" s="182">
        <f t="shared" si="1"/>
        <v>0</v>
      </c>
      <c r="U21" s="182">
        <f t="shared" si="1"/>
        <v>0</v>
      </c>
      <c r="V21" s="182">
        <f t="shared" si="1"/>
        <v>28080.47654</v>
      </c>
      <c r="W21" s="182">
        <f t="shared" si="1"/>
        <v>12174</v>
      </c>
      <c r="X21" s="182" t="e">
        <f t="shared" si="1"/>
        <v>#REF!</v>
      </c>
      <c r="Y21" s="275">
        <f t="shared" si="1"/>
        <v>40254.47654</v>
      </c>
    </row>
    <row r="22" spans="1:25" ht="36" customHeight="1">
      <c r="A22" s="15" t="s">
        <v>22</v>
      </c>
      <c r="B22" s="6" t="s">
        <v>23</v>
      </c>
      <c r="C22" s="6"/>
      <c r="D22" s="6"/>
      <c r="E22" s="6"/>
      <c r="F22" s="6"/>
      <c r="G22" s="182">
        <f>SUM(G23:G31)</f>
        <v>99895.64709</v>
      </c>
      <c r="H22" s="182">
        <f>SUM(H23:H31)</f>
        <v>12174</v>
      </c>
      <c r="I22" s="182">
        <f>SUM(I23:I31)</f>
        <v>12174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>
        <f aca="true" t="shared" si="2" ref="S22:X22">SUM(S23:S31)</f>
        <v>0</v>
      </c>
      <c r="T22" s="182">
        <f t="shared" si="2"/>
        <v>0</v>
      </c>
      <c r="U22" s="182">
        <f t="shared" si="2"/>
        <v>0</v>
      </c>
      <c r="V22" s="182">
        <f>SUM(V23:V31)</f>
        <v>28080.47654</v>
      </c>
      <c r="W22" s="182">
        <f t="shared" si="2"/>
        <v>12174</v>
      </c>
      <c r="X22" s="182">
        <f t="shared" si="2"/>
        <v>0</v>
      </c>
      <c r="Y22" s="275">
        <f>S22+T22+U22+V22+W22+X22</f>
        <v>40254.47654</v>
      </c>
    </row>
    <row r="23" spans="1:25" ht="36" customHeight="1">
      <c r="A23" s="16" t="s">
        <v>194</v>
      </c>
      <c r="B23" s="17" t="s">
        <v>349</v>
      </c>
      <c r="C23" s="14"/>
      <c r="D23" s="14" t="s">
        <v>343</v>
      </c>
      <c r="E23" s="14">
        <v>2013</v>
      </c>
      <c r="F23" s="14">
        <v>2015</v>
      </c>
      <c r="G23" s="161">
        <f>3936.921+670+20+3328</f>
        <v>7954.921</v>
      </c>
      <c r="H23" s="161">
        <f aca="true" t="shared" si="3" ref="H23:H31">W23</f>
        <v>0</v>
      </c>
      <c r="I23" s="161">
        <f>V23</f>
        <v>0</v>
      </c>
      <c r="J23" s="14"/>
      <c r="K23" s="14"/>
      <c r="L23" s="14"/>
      <c r="M23" s="322"/>
      <c r="N23" s="85" t="s">
        <v>475</v>
      </c>
      <c r="O23" s="14"/>
      <c r="P23" s="14"/>
      <c r="Q23" s="14"/>
      <c r="R23" s="6" t="str">
        <f>N23</f>
        <v>1.4 МВА</v>
      </c>
      <c r="S23" s="161"/>
      <c r="T23" s="161"/>
      <c r="U23" s="161"/>
      <c r="V23" s="161">
        <v>0</v>
      </c>
      <c r="W23" s="161">
        <v>0</v>
      </c>
      <c r="X23" s="161"/>
      <c r="Y23" s="273">
        <f>S23+T23+U23+V23+W23</f>
        <v>0</v>
      </c>
    </row>
    <row r="24" spans="1:25" ht="36" customHeight="1">
      <c r="A24" s="16" t="s">
        <v>196</v>
      </c>
      <c r="B24" s="17" t="s">
        <v>349</v>
      </c>
      <c r="C24" s="14"/>
      <c r="D24" s="14" t="s">
        <v>338</v>
      </c>
      <c r="E24" s="14">
        <v>2014</v>
      </c>
      <c r="F24" s="14">
        <v>2014</v>
      </c>
      <c r="G24" s="161">
        <f>3609.99996+190+800</f>
        <v>4599.99996</v>
      </c>
      <c r="H24" s="161">
        <f t="shared" si="3"/>
        <v>0</v>
      </c>
      <c r="I24" s="161">
        <f>V24</f>
        <v>0</v>
      </c>
      <c r="J24" s="14"/>
      <c r="K24" s="85"/>
      <c r="L24" s="14"/>
      <c r="M24" s="14"/>
      <c r="N24" s="14" t="s">
        <v>476</v>
      </c>
      <c r="O24" s="14"/>
      <c r="P24" s="14"/>
      <c r="Q24" s="14"/>
      <c r="R24" s="6" t="str">
        <f>N24</f>
        <v>2.0 МВА</v>
      </c>
      <c r="S24" s="161"/>
      <c r="T24" s="161"/>
      <c r="U24" s="161"/>
      <c r="V24" s="161">
        <v>0</v>
      </c>
      <c r="W24" s="161">
        <v>0</v>
      </c>
      <c r="X24" s="161"/>
      <c r="Y24" s="273">
        <f>S24+T24+U24+V24+W24</f>
        <v>0</v>
      </c>
    </row>
    <row r="25" spans="1:25" ht="36" customHeight="1">
      <c r="A25" s="16" t="s">
        <v>198</v>
      </c>
      <c r="B25" s="17" t="s">
        <v>349</v>
      </c>
      <c r="C25" s="14"/>
      <c r="D25" s="14" t="s">
        <v>235</v>
      </c>
      <c r="E25" s="14">
        <v>2015</v>
      </c>
      <c r="F25" s="14">
        <v>2016</v>
      </c>
      <c r="G25" s="161">
        <f>3821.38162+3458</f>
        <v>7279.38162</v>
      </c>
      <c r="H25" s="161">
        <f t="shared" si="3"/>
        <v>0</v>
      </c>
      <c r="I25" s="161">
        <f aca="true" t="shared" si="4" ref="I25:I31">W25</f>
        <v>0</v>
      </c>
      <c r="J25" s="14"/>
      <c r="K25" s="85"/>
      <c r="L25" s="14"/>
      <c r="M25" s="14"/>
      <c r="N25" s="14"/>
      <c r="O25" s="14" t="str">
        <f>D25</f>
        <v>0,4 МВА</v>
      </c>
      <c r="P25" s="39"/>
      <c r="Q25" s="14"/>
      <c r="R25" s="6" t="str">
        <f>O25</f>
        <v>0,4 МВА</v>
      </c>
      <c r="S25" s="161"/>
      <c r="T25" s="161"/>
      <c r="U25" s="161"/>
      <c r="V25" s="161">
        <v>3458</v>
      </c>
      <c r="W25" s="161">
        <v>0</v>
      </c>
      <c r="X25" s="161"/>
      <c r="Y25" s="273">
        <f>S25+T25+U25+V25+W25</f>
        <v>3458</v>
      </c>
    </row>
    <row r="26" spans="1:25" ht="36" customHeight="1">
      <c r="A26" s="16" t="s">
        <v>204</v>
      </c>
      <c r="B26" s="17" t="s">
        <v>349</v>
      </c>
      <c r="C26" s="14"/>
      <c r="D26" s="14" t="s">
        <v>339</v>
      </c>
      <c r="E26" s="14"/>
      <c r="F26" s="14"/>
      <c r="G26" s="161">
        <v>0</v>
      </c>
      <c r="H26" s="161">
        <f t="shared" si="3"/>
        <v>0</v>
      </c>
      <c r="I26" s="161">
        <f t="shared" si="4"/>
        <v>0</v>
      </c>
      <c r="J26" s="14"/>
      <c r="K26" s="85"/>
      <c r="L26" s="14"/>
      <c r="M26" s="14"/>
      <c r="N26" s="14"/>
      <c r="O26" s="14"/>
      <c r="P26" s="39"/>
      <c r="Q26" s="14"/>
      <c r="R26" s="6"/>
      <c r="S26" s="161"/>
      <c r="T26" s="161"/>
      <c r="U26" s="161"/>
      <c r="V26" s="161">
        <v>0</v>
      </c>
      <c r="W26" s="161">
        <v>0</v>
      </c>
      <c r="X26" s="161"/>
      <c r="Y26" s="273">
        <f aca="true" t="shared" si="5" ref="Y26:Y31">S26+T26+U26+V26+W26+X26</f>
        <v>0</v>
      </c>
    </row>
    <row r="27" spans="1:25" ht="36" customHeight="1">
      <c r="A27" s="16" t="s">
        <v>361</v>
      </c>
      <c r="B27" s="17" t="s">
        <v>349</v>
      </c>
      <c r="C27" s="14"/>
      <c r="D27" s="14" t="s">
        <v>234</v>
      </c>
      <c r="E27" s="14">
        <v>2016</v>
      </c>
      <c r="F27" s="14">
        <v>2016</v>
      </c>
      <c r="G27" s="161">
        <f>459.05792+451+451+4221.38162+3458</f>
        <v>9040.43954</v>
      </c>
      <c r="H27" s="161">
        <f t="shared" si="3"/>
        <v>0</v>
      </c>
      <c r="I27" s="161">
        <f t="shared" si="4"/>
        <v>0</v>
      </c>
      <c r="J27" s="14"/>
      <c r="K27" s="85"/>
      <c r="L27" s="14"/>
      <c r="M27" s="14"/>
      <c r="N27" s="14"/>
      <c r="O27" s="14" t="str">
        <f>D27</f>
        <v>0,63 МВА</v>
      </c>
      <c r="P27" s="39"/>
      <c r="Q27" s="14"/>
      <c r="R27" s="6" t="str">
        <f>O27</f>
        <v>0,63 МВА</v>
      </c>
      <c r="S27" s="161"/>
      <c r="T27" s="161"/>
      <c r="U27" s="161"/>
      <c r="V27" s="161">
        <f>G27</f>
        <v>9040.43954</v>
      </c>
      <c r="W27" s="161">
        <v>0</v>
      </c>
      <c r="X27" s="161"/>
      <c r="Y27" s="273">
        <f t="shared" si="5"/>
        <v>9040.43954</v>
      </c>
    </row>
    <row r="28" spans="1:27" ht="36.75" customHeight="1">
      <c r="A28" s="16" t="s">
        <v>336</v>
      </c>
      <c r="B28" s="17" t="s">
        <v>415</v>
      </c>
      <c r="C28" s="14"/>
      <c r="D28" s="14" t="s">
        <v>234</v>
      </c>
      <c r="E28" s="14">
        <v>2013</v>
      </c>
      <c r="F28" s="14">
        <v>2014</v>
      </c>
      <c r="G28" s="161">
        <f>4334.99963+150+100+800</f>
        <v>5384.99963</v>
      </c>
      <c r="H28" s="161">
        <f t="shared" si="3"/>
        <v>0</v>
      </c>
      <c r="I28" s="161">
        <f t="shared" si="4"/>
        <v>0</v>
      </c>
      <c r="J28" s="14"/>
      <c r="K28" s="85"/>
      <c r="L28" s="14"/>
      <c r="M28" s="85"/>
      <c r="N28" s="14" t="s">
        <v>477</v>
      </c>
      <c r="O28" s="14"/>
      <c r="P28" s="136"/>
      <c r="Q28" s="136"/>
      <c r="R28" s="6" t="str">
        <f>N28</f>
        <v>0.63 МВА</v>
      </c>
      <c r="S28" s="238"/>
      <c r="T28" s="161"/>
      <c r="U28" s="161"/>
      <c r="V28" s="161">
        <v>0</v>
      </c>
      <c r="W28" s="161">
        <v>0</v>
      </c>
      <c r="X28" s="90"/>
      <c r="Y28" s="273">
        <f t="shared" si="5"/>
        <v>0</v>
      </c>
      <c r="AA28" s="111"/>
    </row>
    <row r="29" spans="1:27" ht="36.75" customHeight="1">
      <c r="A29" s="16" t="s">
        <v>342</v>
      </c>
      <c r="B29" s="17" t="s">
        <v>474</v>
      </c>
      <c r="C29" s="14"/>
      <c r="D29" s="14"/>
      <c r="E29" s="14">
        <v>2013</v>
      </c>
      <c r="F29" s="14">
        <v>2016</v>
      </c>
      <c r="G29" s="161">
        <f>251.26783+9999.99968+585+550.99982+130+270+900+3328+280.5+113.1571+12090+70+5900</f>
        <v>34468.92443</v>
      </c>
      <c r="H29" s="161">
        <f t="shared" si="3"/>
        <v>0</v>
      </c>
      <c r="I29" s="161">
        <f t="shared" si="4"/>
        <v>0</v>
      </c>
      <c r="J29" s="14"/>
      <c r="K29" s="85"/>
      <c r="L29" s="14"/>
      <c r="M29" s="85"/>
      <c r="N29" s="14"/>
      <c r="O29" s="14"/>
      <c r="P29" s="136"/>
      <c r="Q29" s="136"/>
      <c r="R29" s="6"/>
      <c r="S29" s="238"/>
      <c r="T29" s="161"/>
      <c r="U29" s="161"/>
      <c r="V29" s="161">
        <v>0</v>
      </c>
      <c r="W29" s="161">
        <v>0</v>
      </c>
      <c r="X29" s="90"/>
      <c r="Y29" s="273">
        <f t="shared" si="5"/>
        <v>0</v>
      </c>
      <c r="AA29" s="111"/>
    </row>
    <row r="30" spans="1:25" s="374" customFormat="1" ht="36" customHeight="1">
      <c r="A30" s="16" t="s">
        <v>358</v>
      </c>
      <c r="B30" s="17" t="s">
        <v>359</v>
      </c>
      <c r="C30" s="168"/>
      <c r="D30" s="168"/>
      <c r="E30" s="168">
        <v>2016</v>
      </c>
      <c r="F30" s="168">
        <v>2016</v>
      </c>
      <c r="G30" s="161">
        <f>1534.037+10590+3458</f>
        <v>15582.037</v>
      </c>
      <c r="H30" s="161">
        <f t="shared" si="3"/>
        <v>0</v>
      </c>
      <c r="I30" s="161">
        <f t="shared" si="4"/>
        <v>0</v>
      </c>
      <c r="J30" s="168"/>
      <c r="K30" s="173"/>
      <c r="L30" s="168"/>
      <c r="M30" s="168"/>
      <c r="N30" s="168"/>
      <c r="O30" s="168"/>
      <c r="P30" s="173"/>
      <c r="Q30" s="173"/>
      <c r="R30" s="42"/>
      <c r="S30" s="239"/>
      <c r="T30" s="287"/>
      <c r="U30" s="287"/>
      <c r="V30" s="287">
        <f>G30</f>
        <v>15582.037</v>
      </c>
      <c r="W30" s="287">
        <v>0</v>
      </c>
      <c r="X30" s="372"/>
      <c r="Y30" s="373">
        <f t="shared" si="5"/>
        <v>15582.037</v>
      </c>
    </row>
    <row r="31" spans="1:25" s="374" customFormat="1" ht="36" customHeight="1">
      <c r="A31" s="16" t="s">
        <v>360</v>
      </c>
      <c r="B31" s="17" t="s">
        <v>374</v>
      </c>
      <c r="C31" s="168"/>
      <c r="D31" s="168"/>
      <c r="E31" s="168">
        <v>2015</v>
      </c>
      <c r="F31" s="168">
        <v>2017</v>
      </c>
      <c r="G31" s="161">
        <f>2082.54491+1328.399+12174</f>
        <v>15584.94391</v>
      </c>
      <c r="H31" s="161">
        <f t="shared" si="3"/>
        <v>12174</v>
      </c>
      <c r="I31" s="161">
        <f t="shared" si="4"/>
        <v>12174</v>
      </c>
      <c r="J31" s="168"/>
      <c r="K31" s="173"/>
      <c r="L31" s="168"/>
      <c r="M31" s="168"/>
      <c r="N31" s="168"/>
      <c r="O31" s="168"/>
      <c r="P31" s="173"/>
      <c r="Q31" s="173"/>
      <c r="R31" s="42"/>
      <c r="S31" s="239"/>
      <c r="T31" s="287"/>
      <c r="U31" s="287"/>
      <c r="V31" s="287">
        <v>0</v>
      </c>
      <c r="W31" s="287">
        <v>12174</v>
      </c>
      <c r="X31" s="372"/>
      <c r="Y31" s="373">
        <f t="shared" si="5"/>
        <v>12174</v>
      </c>
    </row>
    <row r="32" spans="1:25" s="32" customFormat="1" ht="15.75">
      <c r="A32" s="5" t="s">
        <v>24</v>
      </c>
      <c r="B32" s="6" t="s">
        <v>26</v>
      </c>
      <c r="C32" s="41"/>
      <c r="D32" s="41"/>
      <c r="E32" s="271"/>
      <c r="F32" s="271"/>
      <c r="G32" s="182">
        <f>G33</f>
        <v>0</v>
      </c>
      <c r="H32" s="182">
        <f>H33</f>
        <v>0</v>
      </c>
      <c r="I32" s="182">
        <f>V32</f>
        <v>0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>
        <f aca="true" t="shared" si="6" ref="S32:X32">S33</f>
        <v>0</v>
      </c>
      <c r="T32" s="182">
        <f t="shared" si="6"/>
        <v>0</v>
      </c>
      <c r="U32" s="182">
        <f t="shared" si="6"/>
        <v>0</v>
      </c>
      <c r="V32" s="182">
        <f t="shared" si="6"/>
        <v>0</v>
      </c>
      <c r="W32" s="182">
        <f t="shared" si="6"/>
        <v>0</v>
      </c>
      <c r="X32" s="182">
        <f t="shared" si="6"/>
        <v>0</v>
      </c>
      <c r="Y32" s="275">
        <f>SUM(S32:X32)</f>
        <v>0</v>
      </c>
    </row>
    <row r="33" spans="1:25" ht="36" customHeight="1">
      <c r="A33" s="16" t="s">
        <v>205</v>
      </c>
      <c r="B33" s="17" t="s">
        <v>303</v>
      </c>
      <c r="C33" s="17"/>
      <c r="D33" s="14">
        <v>2.5</v>
      </c>
      <c r="E33" s="14"/>
      <c r="F33" s="14"/>
      <c r="G33" s="161">
        <v>0</v>
      </c>
      <c r="H33" s="161">
        <f>G33-S33-T33-U33</f>
        <v>0</v>
      </c>
      <c r="I33" s="161">
        <f>V33</f>
        <v>0</v>
      </c>
      <c r="J33" s="14"/>
      <c r="K33" s="14"/>
      <c r="L33" s="14"/>
      <c r="M33" s="14"/>
      <c r="N33" s="14"/>
      <c r="O33" s="14"/>
      <c r="P33" s="14"/>
      <c r="Q33" s="14"/>
      <c r="R33" s="6"/>
      <c r="S33" s="161"/>
      <c r="T33" s="161"/>
      <c r="U33" s="161"/>
      <c r="V33" s="161">
        <v>0</v>
      </c>
      <c r="W33" s="161">
        <v>0</v>
      </c>
      <c r="X33" s="161"/>
      <c r="Y33" s="273">
        <f>V33+W33+X33+U33+T33+S33</f>
        <v>0</v>
      </c>
    </row>
    <row r="34" spans="1:25" s="32" customFormat="1" ht="47.25" customHeight="1" hidden="1">
      <c r="A34" s="5" t="s">
        <v>25</v>
      </c>
      <c r="B34" s="6" t="s">
        <v>28</v>
      </c>
      <c r="C34" s="41"/>
      <c r="D34" s="41"/>
      <c r="E34" s="271"/>
      <c r="F34" s="271"/>
      <c r="G34" s="182">
        <v>0</v>
      </c>
      <c r="H34" s="182"/>
      <c r="I34" s="182">
        <f>V34</f>
        <v>0</v>
      </c>
      <c r="J34" s="182"/>
      <c r="K34" s="182"/>
      <c r="L34" s="182"/>
      <c r="M34" s="182"/>
      <c r="N34" s="182"/>
      <c r="O34" s="182"/>
      <c r="P34" s="182"/>
      <c r="Q34" s="182"/>
      <c r="R34" s="182"/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 t="e">
        <f>#REF!</f>
        <v>#REF!</v>
      </c>
      <c r="Y34" s="275">
        <v>0</v>
      </c>
    </row>
    <row r="35" spans="1:25" ht="36" customHeight="1">
      <c r="A35" s="5">
        <v>2</v>
      </c>
      <c r="B35" s="6" t="s">
        <v>30</v>
      </c>
      <c r="C35" s="6"/>
      <c r="D35" s="6"/>
      <c r="E35" s="271"/>
      <c r="F35" s="271"/>
      <c r="G35" s="182">
        <f>G36</f>
        <v>29563.209899999998</v>
      </c>
      <c r="H35" s="182">
        <f>H36</f>
        <v>0</v>
      </c>
      <c r="I35" s="182">
        <f>I36</f>
        <v>0</v>
      </c>
      <c r="J35" s="182"/>
      <c r="K35" s="182"/>
      <c r="L35" s="182"/>
      <c r="M35" s="182"/>
      <c r="N35" s="182"/>
      <c r="O35" s="182"/>
      <c r="P35" s="182"/>
      <c r="Q35" s="182"/>
      <c r="R35" s="182"/>
      <c r="S35" s="182">
        <f aca="true" t="shared" si="7" ref="S35:X35">S36</f>
        <v>0</v>
      </c>
      <c r="T35" s="182">
        <f t="shared" si="7"/>
        <v>0</v>
      </c>
      <c r="U35" s="182">
        <f t="shared" si="7"/>
        <v>0</v>
      </c>
      <c r="V35" s="182">
        <f t="shared" si="7"/>
        <v>2419.662</v>
      </c>
      <c r="W35" s="182">
        <f t="shared" si="7"/>
        <v>0</v>
      </c>
      <c r="X35" s="182">
        <f t="shared" si="7"/>
        <v>0</v>
      </c>
      <c r="Y35" s="275">
        <f aca="true" t="shared" si="8" ref="Y35:Y42">SUM(S35:X35)</f>
        <v>2419.662</v>
      </c>
    </row>
    <row r="36" spans="1:35" ht="36" customHeight="1">
      <c r="A36" s="15" t="s">
        <v>31</v>
      </c>
      <c r="B36" s="6" t="s">
        <v>23</v>
      </c>
      <c r="C36" s="6"/>
      <c r="D36" s="6"/>
      <c r="E36" s="6"/>
      <c r="F36" s="6"/>
      <c r="G36" s="182">
        <f>SUM(G37:G40)</f>
        <v>29563.209899999998</v>
      </c>
      <c r="H36" s="182">
        <f>SUM(H37:H40)</f>
        <v>0</v>
      </c>
      <c r="I36" s="182">
        <f>SUM(I37:I40)</f>
        <v>0</v>
      </c>
      <c r="J36" s="182"/>
      <c r="K36" s="182"/>
      <c r="L36" s="182"/>
      <c r="M36" s="182"/>
      <c r="N36" s="182"/>
      <c r="O36" s="182"/>
      <c r="P36" s="182"/>
      <c r="Q36" s="182"/>
      <c r="R36" s="182"/>
      <c r="S36" s="182">
        <f aca="true" t="shared" si="9" ref="S36:X36">SUM(S37:S40)</f>
        <v>0</v>
      </c>
      <c r="T36" s="182">
        <f t="shared" si="9"/>
        <v>0</v>
      </c>
      <c r="U36" s="182">
        <f t="shared" si="9"/>
        <v>0</v>
      </c>
      <c r="V36" s="182">
        <f t="shared" si="9"/>
        <v>2419.662</v>
      </c>
      <c r="W36" s="182">
        <f t="shared" si="9"/>
        <v>0</v>
      </c>
      <c r="X36" s="182">
        <f t="shared" si="9"/>
        <v>0</v>
      </c>
      <c r="Y36" s="275">
        <f t="shared" si="8"/>
        <v>2419.662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25" ht="36" customHeight="1">
      <c r="A37" s="16" t="s">
        <v>324</v>
      </c>
      <c r="B37" s="17" t="s">
        <v>445</v>
      </c>
      <c r="C37" s="17"/>
      <c r="D37" s="14">
        <v>2.5</v>
      </c>
      <c r="E37" s="14">
        <v>2013</v>
      </c>
      <c r="F37" s="14">
        <v>2014</v>
      </c>
      <c r="G37" s="161">
        <f>446.049+2744.9999+180+3007.138</f>
        <v>6378.1869</v>
      </c>
      <c r="H37" s="161">
        <f>W37</f>
        <v>0</v>
      </c>
      <c r="I37" s="161">
        <f>W37</f>
        <v>0</v>
      </c>
      <c r="J37" s="14"/>
      <c r="K37" s="14"/>
      <c r="L37" s="14"/>
      <c r="M37" s="14"/>
      <c r="N37" s="168">
        <v>2.5</v>
      </c>
      <c r="O37" s="14"/>
      <c r="P37" s="14"/>
      <c r="Q37" s="14"/>
      <c r="R37" s="42">
        <f>N37</f>
        <v>2.5</v>
      </c>
      <c r="S37" s="161"/>
      <c r="T37" s="161"/>
      <c r="U37" s="161"/>
      <c r="V37" s="161">
        <v>0</v>
      </c>
      <c r="W37" s="161">
        <v>0</v>
      </c>
      <c r="X37" s="161"/>
      <c r="Y37" s="273">
        <f t="shared" si="8"/>
        <v>0</v>
      </c>
    </row>
    <row r="38" spans="1:25" s="374" customFormat="1" ht="36" customHeight="1">
      <c r="A38" s="16" t="s">
        <v>325</v>
      </c>
      <c r="B38" s="17" t="s">
        <v>446</v>
      </c>
      <c r="C38" s="286"/>
      <c r="D38" s="168"/>
      <c r="E38" s="168">
        <v>2016</v>
      </c>
      <c r="F38" s="168">
        <v>2016</v>
      </c>
      <c r="G38" s="161">
        <f>Y38</f>
        <v>936.85</v>
      </c>
      <c r="H38" s="161">
        <f>W38</f>
        <v>0</v>
      </c>
      <c r="I38" s="161">
        <f>W38</f>
        <v>0</v>
      </c>
      <c r="J38" s="168"/>
      <c r="K38" s="168"/>
      <c r="L38" s="168"/>
      <c r="M38" s="168"/>
      <c r="N38" s="168"/>
      <c r="O38" s="371"/>
      <c r="P38" s="168">
        <v>2.5</v>
      </c>
      <c r="Q38" s="168"/>
      <c r="R38" s="42">
        <f>P38</f>
        <v>2.5</v>
      </c>
      <c r="S38" s="287"/>
      <c r="T38" s="287"/>
      <c r="U38" s="287"/>
      <c r="V38" s="287">
        <v>936.85</v>
      </c>
      <c r="W38" s="287">
        <v>0</v>
      </c>
      <c r="X38" s="287">
        <v>0</v>
      </c>
      <c r="Y38" s="373">
        <f t="shared" si="8"/>
        <v>936.85</v>
      </c>
    </row>
    <row r="39" spans="1:25" ht="36.75" customHeight="1">
      <c r="A39" s="16" t="s">
        <v>356</v>
      </c>
      <c r="B39" s="17" t="s">
        <v>295</v>
      </c>
      <c r="C39" s="17"/>
      <c r="D39" s="14"/>
      <c r="E39" s="14">
        <v>2013</v>
      </c>
      <c r="F39" s="14">
        <v>2016</v>
      </c>
      <c r="G39" s="161">
        <f>4435.215+1332</f>
        <v>5767.215</v>
      </c>
      <c r="H39" s="161">
        <f>W39</f>
        <v>0</v>
      </c>
      <c r="I39" s="161">
        <f>W39</f>
        <v>0</v>
      </c>
      <c r="J39" s="14"/>
      <c r="K39" s="14"/>
      <c r="L39" s="14"/>
      <c r="M39" s="14"/>
      <c r="N39" s="14"/>
      <c r="O39" s="14"/>
      <c r="P39" s="14"/>
      <c r="Q39" s="14"/>
      <c r="R39" s="182"/>
      <c r="S39" s="161"/>
      <c r="T39" s="161"/>
      <c r="U39" s="161"/>
      <c r="V39" s="161">
        <v>1482.812</v>
      </c>
      <c r="W39" s="161">
        <v>0</v>
      </c>
      <c r="X39" s="161"/>
      <c r="Y39" s="273">
        <f t="shared" si="8"/>
        <v>1482.812</v>
      </c>
    </row>
    <row r="40" spans="1:25" s="374" customFormat="1" ht="36.75" customHeight="1">
      <c r="A40" s="16" t="s">
        <v>430</v>
      </c>
      <c r="B40" s="17" t="s">
        <v>373</v>
      </c>
      <c r="C40" s="286"/>
      <c r="D40" s="168" t="s">
        <v>343</v>
      </c>
      <c r="E40" s="168">
        <v>2014</v>
      </c>
      <c r="F40" s="168">
        <v>2015</v>
      </c>
      <c r="G40" s="161">
        <f>4414.958+170+11896</f>
        <v>16480.958</v>
      </c>
      <c r="H40" s="161">
        <f>W40</f>
        <v>0</v>
      </c>
      <c r="I40" s="161">
        <f>W40</f>
        <v>0</v>
      </c>
      <c r="J40" s="168"/>
      <c r="K40" s="168"/>
      <c r="L40" s="168"/>
      <c r="M40" s="168"/>
      <c r="N40" s="168" t="str">
        <f>D40</f>
        <v>1,4 МВА</v>
      </c>
      <c r="O40" s="168"/>
      <c r="P40" s="168"/>
      <c r="Q40" s="168"/>
      <c r="R40" s="300" t="str">
        <f>N40</f>
        <v>1,4 МВА</v>
      </c>
      <c r="S40" s="287"/>
      <c r="T40" s="287"/>
      <c r="U40" s="287"/>
      <c r="V40" s="287">
        <v>0</v>
      </c>
      <c r="W40" s="287">
        <v>0</v>
      </c>
      <c r="X40" s="287"/>
      <c r="Y40" s="373">
        <f t="shared" si="8"/>
        <v>0</v>
      </c>
    </row>
    <row r="41" spans="1:25" s="32" customFormat="1" ht="36" customHeight="1">
      <c r="A41" s="319" t="s">
        <v>428</v>
      </c>
      <c r="B41" s="6" t="s">
        <v>296</v>
      </c>
      <c r="C41" s="6"/>
      <c r="D41" s="6"/>
      <c r="E41" s="271"/>
      <c r="F41" s="271"/>
      <c r="G41" s="182">
        <f>SUM(G42:G43)</f>
        <v>521.3822</v>
      </c>
      <c r="H41" s="182">
        <f>SUM(H42:H43)</f>
        <v>0</v>
      </c>
      <c r="I41" s="182">
        <f>V41</f>
        <v>0</v>
      </c>
      <c r="J41" s="182"/>
      <c r="K41" s="182"/>
      <c r="L41" s="182"/>
      <c r="M41" s="182"/>
      <c r="N41" s="182"/>
      <c r="O41" s="182"/>
      <c r="P41" s="182"/>
      <c r="Q41" s="182"/>
      <c r="R41" s="182"/>
      <c r="S41" s="182">
        <f aca="true" t="shared" si="10" ref="S41:X41">SUM(S42:S43)</f>
        <v>0</v>
      </c>
      <c r="T41" s="182">
        <f t="shared" si="10"/>
        <v>0</v>
      </c>
      <c r="U41" s="182">
        <f t="shared" si="10"/>
        <v>0</v>
      </c>
      <c r="V41" s="182">
        <f t="shared" si="10"/>
        <v>0</v>
      </c>
      <c r="W41" s="182">
        <f t="shared" si="10"/>
        <v>0</v>
      </c>
      <c r="X41" s="182">
        <f t="shared" si="10"/>
        <v>0</v>
      </c>
      <c r="Y41" s="275">
        <f t="shared" si="8"/>
        <v>0</v>
      </c>
    </row>
    <row r="42" spans="1:25" s="25" customFormat="1" ht="37.5" customHeight="1">
      <c r="A42" s="16" t="s">
        <v>111</v>
      </c>
      <c r="B42" s="17" t="s">
        <v>314</v>
      </c>
      <c r="C42" s="14"/>
      <c r="D42" s="14"/>
      <c r="E42" s="14">
        <v>2014</v>
      </c>
      <c r="F42" s="14">
        <v>2014</v>
      </c>
      <c r="G42" s="161">
        <v>389</v>
      </c>
      <c r="H42" s="161">
        <f>W42</f>
        <v>0</v>
      </c>
      <c r="I42" s="161">
        <f>V42</f>
        <v>0</v>
      </c>
      <c r="J42" s="161"/>
      <c r="K42" s="161"/>
      <c r="L42" s="161"/>
      <c r="M42" s="161"/>
      <c r="N42" s="161"/>
      <c r="O42" s="161"/>
      <c r="P42" s="161"/>
      <c r="Q42" s="161"/>
      <c r="R42" s="182"/>
      <c r="S42" s="161"/>
      <c r="T42" s="161"/>
      <c r="U42" s="161"/>
      <c r="V42" s="161">
        <v>0</v>
      </c>
      <c r="W42" s="161">
        <v>0</v>
      </c>
      <c r="X42" s="161"/>
      <c r="Y42" s="273">
        <f t="shared" si="8"/>
        <v>0</v>
      </c>
    </row>
    <row r="43" spans="1:25" s="375" customFormat="1" ht="39" customHeight="1">
      <c r="A43" s="16" t="s">
        <v>333</v>
      </c>
      <c r="B43" s="466" t="s">
        <v>357</v>
      </c>
      <c r="C43" s="427"/>
      <c r="D43" s="174"/>
      <c r="E43" s="168">
        <v>2014</v>
      </c>
      <c r="F43" s="168">
        <v>2014</v>
      </c>
      <c r="G43" s="287">
        <v>132.3822</v>
      </c>
      <c r="H43" s="161">
        <f>W43</f>
        <v>0</v>
      </c>
      <c r="I43" s="161">
        <f>V43</f>
        <v>0</v>
      </c>
      <c r="J43" s="168"/>
      <c r="K43" s="168"/>
      <c r="L43" s="168"/>
      <c r="M43" s="168"/>
      <c r="N43" s="168"/>
      <c r="O43" s="168"/>
      <c r="P43" s="168"/>
      <c r="Q43" s="168"/>
      <c r="R43" s="42"/>
      <c r="S43" s="287"/>
      <c r="T43" s="287"/>
      <c r="U43" s="287"/>
      <c r="V43" s="287">
        <v>0</v>
      </c>
      <c r="W43" s="287">
        <v>0</v>
      </c>
      <c r="X43" s="287"/>
      <c r="Y43" s="273">
        <f>SUM(S43:X43)</f>
        <v>0</v>
      </c>
    </row>
    <row r="44" spans="1:25" s="375" customFormat="1" ht="52.5" customHeight="1">
      <c r="A44" s="5">
        <v>4</v>
      </c>
      <c r="B44" s="7" t="s">
        <v>502</v>
      </c>
      <c r="C44" s="428"/>
      <c r="D44" s="7"/>
      <c r="E44" s="6"/>
      <c r="F44" s="6"/>
      <c r="G44" s="182">
        <f>G45+G48+G52+G60</f>
        <v>767.771</v>
      </c>
      <c r="H44" s="182">
        <f aca="true" t="shared" si="11" ref="H44:Y44">H45+H48+H52+H60</f>
        <v>0</v>
      </c>
      <c r="I44" s="182">
        <f t="shared" si="11"/>
        <v>0</v>
      </c>
      <c r="J44" s="182">
        <f t="shared" si="11"/>
        <v>0</v>
      </c>
      <c r="K44" s="182">
        <f t="shared" si="11"/>
        <v>0</v>
      </c>
      <c r="L44" s="182">
        <f t="shared" si="11"/>
        <v>0</v>
      </c>
      <c r="M44" s="182">
        <f t="shared" si="11"/>
        <v>0</v>
      </c>
      <c r="N44" s="182"/>
      <c r="O44" s="182"/>
      <c r="P44" s="182"/>
      <c r="Q44" s="182"/>
      <c r="R44" s="182"/>
      <c r="S44" s="182">
        <f t="shared" si="11"/>
        <v>0</v>
      </c>
      <c r="T44" s="182">
        <f t="shared" si="11"/>
        <v>0</v>
      </c>
      <c r="U44" s="182">
        <f t="shared" si="11"/>
        <v>0</v>
      </c>
      <c r="V44" s="182">
        <f t="shared" si="11"/>
        <v>423.865</v>
      </c>
      <c r="W44" s="182">
        <f t="shared" si="11"/>
        <v>0</v>
      </c>
      <c r="X44" s="182">
        <f t="shared" si="11"/>
        <v>0</v>
      </c>
      <c r="Y44" s="275">
        <f t="shared" si="11"/>
        <v>423.865</v>
      </c>
    </row>
    <row r="45" spans="1:25" s="375" customFormat="1" ht="15.75">
      <c r="A45" s="5" t="s">
        <v>431</v>
      </c>
      <c r="B45" s="7" t="s">
        <v>420</v>
      </c>
      <c r="C45" s="428"/>
      <c r="D45" s="7"/>
      <c r="E45" s="6"/>
      <c r="F45" s="6"/>
      <c r="G45" s="182">
        <f>G46+G47</f>
        <v>126.55</v>
      </c>
      <c r="H45" s="182">
        <f aca="true" t="shared" si="12" ref="H45:Y45">H46+H47</f>
        <v>0</v>
      </c>
      <c r="I45" s="182">
        <f t="shared" si="12"/>
        <v>0</v>
      </c>
      <c r="J45" s="182">
        <f t="shared" si="12"/>
        <v>0</v>
      </c>
      <c r="K45" s="182">
        <f t="shared" si="12"/>
        <v>0</v>
      </c>
      <c r="L45" s="182">
        <f t="shared" si="12"/>
        <v>0</v>
      </c>
      <c r="M45" s="182">
        <f t="shared" si="12"/>
        <v>0</v>
      </c>
      <c r="N45" s="182"/>
      <c r="O45" s="182"/>
      <c r="P45" s="182"/>
      <c r="Q45" s="182"/>
      <c r="R45" s="182"/>
      <c r="S45" s="182">
        <f t="shared" si="12"/>
        <v>0</v>
      </c>
      <c r="T45" s="182">
        <f t="shared" si="12"/>
        <v>0</v>
      </c>
      <c r="U45" s="182">
        <f t="shared" si="12"/>
        <v>0</v>
      </c>
      <c r="V45" s="182">
        <f t="shared" si="12"/>
        <v>0</v>
      </c>
      <c r="W45" s="182">
        <f t="shared" si="12"/>
        <v>0</v>
      </c>
      <c r="X45" s="182">
        <f t="shared" si="12"/>
        <v>0</v>
      </c>
      <c r="Y45" s="275">
        <f t="shared" si="12"/>
        <v>0</v>
      </c>
    </row>
    <row r="46" spans="1:25" s="375" customFormat="1" ht="15.75">
      <c r="A46" s="473" t="s">
        <v>432</v>
      </c>
      <c r="B46" s="543" t="s">
        <v>421</v>
      </c>
      <c r="C46" s="428"/>
      <c r="D46" s="7"/>
      <c r="E46" s="14">
        <v>2015</v>
      </c>
      <c r="F46" s="14">
        <v>2015</v>
      </c>
      <c r="G46" s="161">
        <v>41</v>
      </c>
      <c r="H46" s="161">
        <f>W46</f>
        <v>0</v>
      </c>
      <c r="I46" s="161">
        <f>W46</f>
        <v>0</v>
      </c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61">
        <v>0</v>
      </c>
      <c r="W46" s="161">
        <v>0</v>
      </c>
      <c r="X46" s="182"/>
      <c r="Y46" s="275">
        <f>V46+W46</f>
        <v>0</v>
      </c>
    </row>
    <row r="47" spans="1:25" s="375" customFormat="1" ht="31.5">
      <c r="A47" s="473" t="s">
        <v>433</v>
      </c>
      <c r="B47" s="543" t="s">
        <v>480</v>
      </c>
      <c r="C47" s="428"/>
      <c r="D47" s="7"/>
      <c r="E47" s="14">
        <v>2015</v>
      </c>
      <c r="F47" s="14">
        <v>2015</v>
      </c>
      <c r="G47" s="161">
        <v>85.55</v>
      </c>
      <c r="H47" s="161">
        <f>W47</f>
        <v>0</v>
      </c>
      <c r="I47" s="161">
        <f>W47</f>
        <v>0</v>
      </c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61">
        <v>0</v>
      </c>
      <c r="W47" s="161">
        <v>0</v>
      </c>
      <c r="X47" s="182"/>
      <c r="Y47" s="275">
        <f>V47+W47</f>
        <v>0</v>
      </c>
    </row>
    <row r="48" spans="1:25" s="375" customFormat="1" ht="37.5" customHeight="1">
      <c r="A48" s="5" t="s">
        <v>434</v>
      </c>
      <c r="B48" s="7" t="s">
        <v>472</v>
      </c>
      <c r="C48" s="430"/>
      <c r="D48" s="429"/>
      <c r="E48" s="42"/>
      <c r="F48" s="42"/>
      <c r="G48" s="182">
        <f>G49+G50+G51</f>
        <v>110.358</v>
      </c>
      <c r="H48" s="182">
        <f>H49+H50+H51</f>
        <v>0</v>
      </c>
      <c r="I48" s="182">
        <f>I49+I50+I51</f>
        <v>0</v>
      </c>
      <c r="J48" s="182"/>
      <c r="K48" s="182"/>
      <c r="L48" s="182"/>
      <c r="M48" s="182"/>
      <c r="N48" s="182"/>
      <c r="O48" s="182"/>
      <c r="P48" s="182"/>
      <c r="Q48" s="182"/>
      <c r="R48" s="182"/>
      <c r="S48" s="182">
        <f>S49+S50</f>
        <v>0</v>
      </c>
      <c r="T48" s="182">
        <f>T49+T50</f>
        <v>0</v>
      </c>
      <c r="U48" s="182">
        <f>U49+U50</f>
        <v>0</v>
      </c>
      <c r="V48" s="182">
        <f>V49+V50+V51</f>
        <v>110.358</v>
      </c>
      <c r="W48" s="182">
        <f>W49+W50+W51</f>
        <v>0</v>
      </c>
      <c r="X48" s="300">
        <f>X49+X50+X51</f>
        <v>0</v>
      </c>
      <c r="Y48" s="275">
        <f aca="true" t="shared" si="13" ref="Y48:Y57">SUM(S48:X48)</f>
        <v>110.358</v>
      </c>
    </row>
    <row r="49" spans="1:25" s="375" customFormat="1" ht="15.75">
      <c r="A49" s="16" t="s">
        <v>435</v>
      </c>
      <c r="B49" s="466" t="s">
        <v>466</v>
      </c>
      <c r="C49" s="427"/>
      <c r="D49" s="174"/>
      <c r="E49" s="14">
        <v>2016</v>
      </c>
      <c r="F49" s="14">
        <v>2016</v>
      </c>
      <c r="G49" s="161">
        <f>Y49</f>
        <v>50.508</v>
      </c>
      <c r="H49" s="161">
        <f>W49</f>
        <v>0</v>
      </c>
      <c r="I49" s="161">
        <f>W49</f>
        <v>0</v>
      </c>
      <c r="J49" s="14"/>
      <c r="K49" s="14"/>
      <c r="L49" s="14"/>
      <c r="M49" s="14"/>
      <c r="N49" s="14"/>
      <c r="O49" s="14"/>
      <c r="P49" s="14"/>
      <c r="Q49" s="14"/>
      <c r="R49" s="6"/>
      <c r="S49" s="161"/>
      <c r="T49" s="161"/>
      <c r="U49" s="161"/>
      <c r="V49" s="161">
        <v>50.508</v>
      </c>
      <c r="W49" s="161">
        <v>0</v>
      </c>
      <c r="X49" s="287"/>
      <c r="Y49" s="273">
        <f t="shared" si="13"/>
        <v>50.508</v>
      </c>
    </row>
    <row r="50" spans="1:25" s="375" customFormat="1" ht="15.75">
      <c r="A50" s="16" t="s">
        <v>436</v>
      </c>
      <c r="B50" s="466" t="s">
        <v>467</v>
      </c>
      <c r="C50" s="427"/>
      <c r="D50" s="174"/>
      <c r="E50" s="14">
        <v>2016</v>
      </c>
      <c r="F50" s="14">
        <v>2016</v>
      </c>
      <c r="G50" s="161">
        <f aca="true" t="shared" si="14" ref="G50:G60">Y50</f>
        <v>31.05</v>
      </c>
      <c r="H50" s="161">
        <f>W50</f>
        <v>0</v>
      </c>
      <c r="I50" s="161">
        <f>W50</f>
        <v>0</v>
      </c>
      <c r="J50" s="14"/>
      <c r="K50" s="14"/>
      <c r="L50" s="14"/>
      <c r="M50" s="14"/>
      <c r="N50" s="14"/>
      <c r="O50" s="14"/>
      <c r="P50" s="14"/>
      <c r="Q50" s="14"/>
      <c r="R50" s="6"/>
      <c r="S50" s="161"/>
      <c r="T50" s="161"/>
      <c r="U50" s="161"/>
      <c r="V50" s="161">
        <v>31.05</v>
      </c>
      <c r="W50" s="161">
        <v>0</v>
      </c>
      <c r="X50" s="287"/>
      <c r="Y50" s="273">
        <f t="shared" si="13"/>
        <v>31.05</v>
      </c>
    </row>
    <row r="51" spans="1:25" s="375" customFormat="1" ht="15.75">
      <c r="A51" s="16" t="s">
        <v>461</v>
      </c>
      <c r="B51" s="466" t="s">
        <v>468</v>
      </c>
      <c r="C51" s="427"/>
      <c r="D51" s="174"/>
      <c r="E51" s="14">
        <v>2016</v>
      </c>
      <c r="F51" s="14">
        <v>2016</v>
      </c>
      <c r="G51" s="161">
        <f t="shared" si="14"/>
        <v>28.8</v>
      </c>
      <c r="H51" s="161">
        <f>W51</f>
        <v>0</v>
      </c>
      <c r="I51" s="161">
        <f>W51</f>
        <v>0</v>
      </c>
      <c r="J51" s="14"/>
      <c r="K51" s="14"/>
      <c r="L51" s="14"/>
      <c r="M51" s="14"/>
      <c r="N51" s="14"/>
      <c r="O51" s="14"/>
      <c r="P51" s="14"/>
      <c r="Q51" s="14"/>
      <c r="R51" s="6"/>
      <c r="S51" s="161"/>
      <c r="T51" s="161"/>
      <c r="U51" s="161"/>
      <c r="V51" s="161">
        <v>28.8</v>
      </c>
      <c r="W51" s="161">
        <v>0</v>
      </c>
      <c r="X51" s="287"/>
      <c r="Y51" s="273">
        <f t="shared" si="13"/>
        <v>28.8</v>
      </c>
    </row>
    <row r="52" spans="1:25" s="375" customFormat="1" ht="15.75">
      <c r="A52" s="5" t="s">
        <v>478</v>
      </c>
      <c r="B52" s="7" t="s">
        <v>422</v>
      </c>
      <c r="C52" s="430"/>
      <c r="D52" s="429"/>
      <c r="E52" s="6"/>
      <c r="F52" s="6"/>
      <c r="G52" s="182">
        <f>SUM(G53:G58)</f>
        <v>388.751</v>
      </c>
      <c r="H52" s="182">
        <f aca="true" t="shared" si="15" ref="H52:Y52">SUM(H53:H58)</f>
        <v>0</v>
      </c>
      <c r="I52" s="182">
        <f t="shared" si="15"/>
        <v>0</v>
      </c>
      <c r="J52" s="182">
        <f t="shared" si="15"/>
        <v>0</v>
      </c>
      <c r="K52" s="182">
        <f t="shared" si="15"/>
        <v>0</v>
      </c>
      <c r="L52" s="182">
        <f t="shared" si="15"/>
        <v>0</v>
      </c>
      <c r="M52" s="182">
        <f t="shared" si="15"/>
        <v>0</v>
      </c>
      <c r="N52" s="182"/>
      <c r="O52" s="182"/>
      <c r="P52" s="182"/>
      <c r="Q52" s="182"/>
      <c r="R52" s="182"/>
      <c r="S52" s="182">
        <f t="shared" si="15"/>
        <v>0</v>
      </c>
      <c r="T52" s="182">
        <f t="shared" si="15"/>
        <v>0</v>
      </c>
      <c r="U52" s="182">
        <f t="shared" si="15"/>
        <v>0</v>
      </c>
      <c r="V52" s="182">
        <f t="shared" si="15"/>
        <v>171.395</v>
      </c>
      <c r="W52" s="182">
        <f t="shared" si="15"/>
        <v>0</v>
      </c>
      <c r="X52" s="300">
        <f t="shared" si="15"/>
        <v>0</v>
      </c>
      <c r="Y52" s="275">
        <f t="shared" si="15"/>
        <v>171.395</v>
      </c>
    </row>
    <row r="53" spans="1:25" s="375" customFormat="1" ht="15.75">
      <c r="A53" s="473" t="s">
        <v>479</v>
      </c>
      <c r="B53" s="543" t="s">
        <v>423</v>
      </c>
      <c r="C53" s="430"/>
      <c r="D53" s="429"/>
      <c r="E53" s="14">
        <v>2015</v>
      </c>
      <c r="F53" s="14">
        <v>2015</v>
      </c>
      <c r="G53" s="161">
        <v>78.352</v>
      </c>
      <c r="H53" s="161">
        <f aca="true" t="shared" si="16" ref="H53:H58">W53</f>
        <v>0</v>
      </c>
      <c r="I53" s="161">
        <f aca="true" t="shared" si="17" ref="I53:I58">W53</f>
        <v>0</v>
      </c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61">
        <v>0</v>
      </c>
      <c r="W53" s="161">
        <v>0</v>
      </c>
      <c r="X53" s="300"/>
      <c r="Y53" s="273">
        <f>V53+W53</f>
        <v>0</v>
      </c>
    </row>
    <row r="54" spans="1:25" s="375" customFormat="1" ht="15.75">
      <c r="A54" s="473" t="s">
        <v>481</v>
      </c>
      <c r="B54" s="543" t="s">
        <v>424</v>
      </c>
      <c r="C54" s="430"/>
      <c r="D54" s="429"/>
      <c r="E54" s="14">
        <v>2015</v>
      </c>
      <c r="F54" s="14">
        <v>2015</v>
      </c>
      <c r="G54" s="161">
        <v>64.9</v>
      </c>
      <c r="H54" s="161">
        <f t="shared" si="16"/>
        <v>0</v>
      </c>
      <c r="I54" s="161">
        <f t="shared" si="17"/>
        <v>0</v>
      </c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61">
        <v>0</v>
      </c>
      <c r="W54" s="161">
        <v>0</v>
      </c>
      <c r="X54" s="300"/>
      <c r="Y54" s="273">
        <f>V54+W54</f>
        <v>0</v>
      </c>
    </row>
    <row r="55" spans="1:25" s="375" customFormat="1" ht="31.5">
      <c r="A55" s="473" t="s">
        <v>482</v>
      </c>
      <c r="B55" s="543" t="s">
        <v>462</v>
      </c>
      <c r="C55" s="430"/>
      <c r="D55" s="429"/>
      <c r="E55" s="14">
        <v>2015</v>
      </c>
      <c r="F55" s="14">
        <v>2015</v>
      </c>
      <c r="G55" s="161">
        <v>74.104</v>
      </c>
      <c r="H55" s="161">
        <f t="shared" si="16"/>
        <v>0</v>
      </c>
      <c r="I55" s="161">
        <f t="shared" si="17"/>
        <v>0</v>
      </c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61">
        <v>0</v>
      </c>
      <c r="W55" s="161">
        <v>0</v>
      </c>
      <c r="X55" s="300"/>
      <c r="Y55" s="273">
        <f>V55+W55</f>
        <v>0</v>
      </c>
    </row>
    <row r="56" spans="1:25" s="375" customFormat="1" ht="15.75">
      <c r="A56" s="473" t="s">
        <v>485</v>
      </c>
      <c r="B56" s="467" t="s">
        <v>469</v>
      </c>
      <c r="C56" s="427"/>
      <c r="D56" s="174"/>
      <c r="E56" s="14">
        <v>2016</v>
      </c>
      <c r="F56" s="14">
        <v>2016</v>
      </c>
      <c r="G56" s="161">
        <f t="shared" si="14"/>
        <v>61.183</v>
      </c>
      <c r="H56" s="161">
        <f t="shared" si="16"/>
        <v>0</v>
      </c>
      <c r="I56" s="161">
        <f t="shared" si="17"/>
        <v>0</v>
      </c>
      <c r="J56" s="14"/>
      <c r="K56" s="14"/>
      <c r="L56" s="14"/>
      <c r="M56" s="14"/>
      <c r="N56" s="14"/>
      <c r="O56" s="14"/>
      <c r="P56" s="14"/>
      <c r="Q56" s="14"/>
      <c r="R56" s="6"/>
      <c r="S56" s="161"/>
      <c r="T56" s="161"/>
      <c r="U56" s="161"/>
      <c r="V56" s="161">
        <v>61.183</v>
      </c>
      <c r="W56" s="161">
        <v>0</v>
      </c>
      <c r="X56" s="287"/>
      <c r="Y56" s="273">
        <f>V56+W56</f>
        <v>61.183</v>
      </c>
    </row>
    <row r="57" spans="1:25" s="375" customFormat="1" ht="15.75">
      <c r="A57" s="468" t="s">
        <v>486</v>
      </c>
      <c r="B57" s="467" t="s">
        <v>469</v>
      </c>
      <c r="C57" s="427"/>
      <c r="D57" s="174"/>
      <c r="E57" s="14">
        <v>2016</v>
      </c>
      <c r="F57" s="14">
        <v>2016</v>
      </c>
      <c r="G57" s="161">
        <f t="shared" si="14"/>
        <v>61.183</v>
      </c>
      <c r="H57" s="161">
        <f t="shared" si="16"/>
        <v>0</v>
      </c>
      <c r="I57" s="161">
        <f t="shared" si="17"/>
        <v>0</v>
      </c>
      <c r="J57" s="14"/>
      <c r="K57" s="14"/>
      <c r="L57" s="14"/>
      <c r="M57" s="14"/>
      <c r="N57" s="14"/>
      <c r="O57" s="14"/>
      <c r="P57" s="14"/>
      <c r="Q57" s="14"/>
      <c r="R57" s="6"/>
      <c r="S57" s="161"/>
      <c r="T57" s="161"/>
      <c r="U57" s="161"/>
      <c r="V57" s="161">
        <v>61.183</v>
      </c>
      <c r="W57" s="161">
        <v>0</v>
      </c>
      <c r="X57" s="287"/>
      <c r="Y57" s="273">
        <f t="shared" si="13"/>
        <v>61.183</v>
      </c>
    </row>
    <row r="58" spans="1:25" s="375" customFormat="1" ht="15.75">
      <c r="A58" s="468" t="s">
        <v>487</v>
      </c>
      <c r="B58" s="467" t="s">
        <v>470</v>
      </c>
      <c r="C58" s="427"/>
      <c r="D58" s="174"/>
      <c r="E58" s="14">
        <v>2016</v>
      </c>
      <c r="F58" s="14">
        <v>2016</v>
      </c>
      <c r="G58" s="161">
        <f t="shared" si="14"/>
        <v>49.029</v>
      </c>
      <c r="H58" s="161">
        <f t="shared" si="16"/>
        <v>0</v>
      </c>
      <c r="I58" s="161">
        <f t="shared" si="17"/>
        <v>0</v>
      </c>
      <c r="J58" s="14"/>
      <c r="K58" s="14"/>
      <c r="L58" s="14"/>
      <c r="M58" s="14"/>
      <c r="N58" s="14"/>
      <c r="O58" s="14"/>
      <c r="P58" s="14"/>
      <c r="Q58" s="14"/>
      <c r="R58" s="6"/>
      <c r="S58" s="161"/>
      <c r="T58" s="161"/>
      <c r="U58" s="161"/>
      <c r="V58" s="161">
        <v>49.029</v>
      </c>
      <c r="W58" s="161">
        <v>0</v>
      </c>
      <c r="X58" s="287"/>
      <c r="Y58" s="273">
        <f>SUM(S58:X58)</f>
        <v>49.029</v>
      </c>
    </row>
    <row r="59" spans="1:25" s="375" customFormat="1" ht="15.75">
      <c r="A59" s="5" t="s">
        <v>483</v>
      </c>
      <c r="B59" s="7" t="s">
        <v>471</v>
      </c>
      <c r="C59" s="470"/>
      <c r="D59" s="471"/>
      <c r="E59" s="446"/>
      <c r="F59" s="446"/>
      <c r="G59" s="452">
        <f t="shared" si="14"/>
        <v>142.112</v>
      </c>
      <c r="H59" s="452">
        <f aca="true" t="shared" si="18" ref="H59:U59">H60</f>
        <v>0</v>
      </c>
      <c r="I59" s="452">
        <f t="shared" si="18"/>
        <v>0</v>
      </c>
      <c r="J59" s="452">
        <f t="shared" si="18"/>
        <v>0</v>
      </c>
      <c r="K59" s="452">
        <f t="shared" si="18"/>
        <v>0</v>
      </c>
      <c r="L59" s="452">
        <f t="shared" si="18"/>
        <v>0</v>
      </c>
      <c r="M59" s="452">
        <f t="shared" si="18"/>
        <v>0</v>
      </c>
      <c r="N59" s="452"/>
      <c r="O59" s="452"/>
      <c r="P59" s="452"/>
      <c r="Q59" s="452"/>
      <c r="R59" s="452"/>
      <c r="S59" s="452">
        <f t="shared" si="18"/>
        <v>0</v>
      </c>
      <c r="T59" s="452">
        <f t="shared" si="18"/>
        <v>0</v>
      </c>
      <c r="U59" s="452">
        <f t="shared" si="18"/>
        <v>0</v>
      </c>
      <c r="V59" s="452">
        <f>V60</f>
        <v>142.112</v>
      </c>
      <c r="W59" s="452">
        <f>W60</f>
        <v>0</v>
      </c>
      <c r="X59" s="452">
        <f>X60</f>
        <v>0</v>
      </c>
      <c r="Y59" s="275">
        <f>Y60</f>
        <v>142.112</v>
      </c>
    </row>
    <row r="60" spans="1:25" s="375" customFormat="1" ht="16.5" thickBot="1">
      <c r="A60" s="469" t="s">
        <v>484</v>
      </c>
      <c r="B60" s="230" t="s">
        <v>473</v>
      </c>
      <c r="C60" s="431"/>
      <c r="D60" s="432"/>
      <c r="E60" s="9">
        <v>2016</v>
      </c>
      <c r="F60" s="9">
        <v>2016</v>
      </c>
      <c r="G60" s="201">
        <f t="shared" si="14"/>
        <v>142.112</v>
      </c>
      <c r="H60" s="201">
        <f>W60</f>
        <v>0</v>
      </c>
      <c r="I60" s="201">
        <f>W60</f>
        <v>0</v>
      </c>
      <c r="J60" s="9"/>
      <c r="K60" s="9"/>
      <c r="L60" s="9"/>
      <c r="M60" s="9"/>
      <c r="N60" s="9"/>
      <c r="O60" s="9"/>
      <c r="P60" s="9"/>
      <c r="Q60" s="9"/>
      <c r="R60" s="465"/>
      <c r="S60" s="201"/>
      <c r="T60" s="201"/>
      <c r="U60" s="201"/>
      <c r="V60" s="201">
        <v>142.112</v>
      </c>
      <c r="W60" s="201">
        <v>0</v>
      </c>
      <c r="X60" s="433"/>
      <c r="Y60" s="472">
        <f>V60+W60</f>
        <v>142.112</v>
      </c>
    </row>
    <row r="61" spans="1:25" s="25" customFormat="1" ht="15.75">
      <c r="A61" s="274"/>
      <c r="B61" s="179"/>
      <c r="C61" s="274"/>
      <c r="D61" s="274"/>
      <c r="E61" s="274"/>
      <c r="F61" s="274"/>
      <c r="G61" s="202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02"/>
      <c r="T61" s="202"/>
      <c r="U61" s="202"/>
      <c r="V61" s="202"/>
      <c r="W61" s="202"/>
      <c r="X61" s="202"/>
      <c r="Y61" s="202"/>
    </row>
    <row r="62" spans="1:25" s="25" customFormat="1" ht="15.75" hidden="1">
      <c r="A62" s="24"/>
      <c r="D62" s="26"/>
      <c r="E62" s="189"/>
      <c r="F62" s="189"/>
      <c r="G62" s="26"/>
      <c r="H62" s="26"/>
      <c r="I62" s="26"/>
      <c r="S62" s="24"/>
      <c r="T62" s="24"/>
      <c r="U62" s="24"/>
      <c r="V62" s="24"/>
      <c r="W62" s="24"/>
      <c r="X62" s="24"/>
      <c r="Y62" s="24"/>
    </row>
    <row r="63" spans="1:25" s="25" customFormat="1" ht="15.75" hidden="1">
      <c r="A63" s="27"/>
      <c r="B63" s="1" t="s">
        <v>34</v>
      </c>
      <c r="C63" s="1"/>
      <c r="D63" s="2"/>
      <c r="E63" s="188"/>
      <c r="F63" s="188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" ht="15.75" hidden="1">
      <c r="A64" s="28"/>
      <c r="B64" s="1" t="s">
        <v>35</v>
      </c>
    </row>
    <row r="65" spans="1:2" ht="15.75" hidden="1">
      <c r="A65" s="28"/>
      <c r="B65" s="26" t="s">
        <v>418</v>
      </c>
    </row>
    <row r="66" spans="2:25" ht="15.75" hidden="1">
      <c r="B66" s="582" t="s">
        <v>36</v>
      </c>
      <c r="C66" s="582"/>
      <c r="D66" s="582"/>
      <c r="E66" s="582"/>
      <c r="F66" s="582"/>
      <c r="G66" s="582"/>
      <c r="H66" s="582"/>
      <c r="S66" s="30"/>
      <c r="Y66" s="31"/>
    </row>
    <row r="67" spans="2:25" ht="15.75" hidden="1">
      <c r="B67" s="29"/>
      <c r="C67" s="29"/>
      <c r="D67" s="29"/>
      <c r="E67" s="190"/>
      <c r="F67" s="190"/>
      <c r="G67" s="29"/>
      <c r="H67" s="29"/>
      <c r="S67" s="30"/>
      <c r="Y67" s="31"/>
    </row>
    <row r="68" spans="1:8" ht="15.75" hidden="1">
      <c r="A68" s="28"/>
      <c r="B68" s="582" t="s">
        <v>232</v>
      </c>
      <c r="C68" s="582"/>
      <c r="D68" s="582"/>
      <c r="E68" s="582"/>
      <c r="F68" s="582"/>
      <c r="G68" s="582"/>
      <c r="H68" s="582"/>
    </row>
    <row r="69" spans="1:8" ht="15.75" hidden="1">
      <c r="A69" s="28"/>
      <c r="B69" s="582"/>
      <c r="C69" s="582"/>
      <c r="D69" s="582"/>
      <c r="E69" s="582"/>
      <c r="F69" s="582"/>
      <c r="G69" s="582"/>
      <c r="H69" s="582"/>
    </row>
    <row r="70" spans="1:8" ht="15.75">
      <c r="A70" s="28"/>
      <c r="B70" s="29"/>
      <c r="C70" s="29"/>
      <c r="D70" s="29"/>
      <c r="E70" s="29"/>
      <c r="F70" s="29"/>
      <c r="G70" s="29"/>
      <c r="H70" s="29"/>
    </row>
    <row r="71" spans="2:25" ht="18.75">
      <c r="B71" s="635" t="s">
        <v>230</v>
      </c>
      <c r="C71" s="635"/>
      <c r="D71" s="635"/>
      <c r="E71" s="635"/>
      <c r="F71" s="635"/>
      <c r="G71" s="635"/>
      <c r="H71" s="220"/>
      <c r="I71" s="221"/>
      <c r="J71" s="221"/>
      <c r="K71" s="222"/>
      <c r="N71" s="222"/>
      <c r="O71" s="222"/>
      <c r="P71" s="222"/>
      <c r="Q71" s="222"/>
      <c r="R71" s="222" t="s">
        <v>411</v>
      </c>
      <c r="S71" s="604" t="s">
        <v>231</v>
      </c>
      <c r="T71" s="604"/>
      <c r="U71"/>
      <c r="V71"/>
      <c r="W71"/>
      <c r="X71"/>
      <c r="Y71"/>
    </row>
    <row r="72" spans="4:25" ht="11.25" customHeight="1">
      <c r="D72" s="1"/>
      <c r="E72" s="49"/>
      <c r="F72" s="49"/>
      <c r="G72" s="1"/>
      <c r="H72" s="1"/>
      <c r="S72" s="30"/>
      <c r="Y72" s="31"/>
    </row>
    <row r="73" spans="1:25" ht="63.75" customHeight="1">
      <c r="A73" s="2"/>
      <c r="T73" s="111"/>
      <c r="Y73" s="32"/>
    </row>
    <row r="74" ht="33.75" customHeight="1"/>
  </sheetData>
  <sheetProtection/>
  <mergeCells count="24">
    <mergeCell ref="A12:Y12"/>
    <mergeCell ref="A13:Y13"/>
    <mergeCell ref="P8:Y8"/>
    <mergeCell ref="S16:Y16"/>
    <mergeCell ref="I16:I17"/>
    <mergeCell ref="S71:T71"/>
    <mergeCell ref="W15:Y15"/>
    <mergeCell ref="B71:G71"/>
    <mergeCell ref="V1:Y1"/>
    <mergeCell ref="W5:Y5"/>
    <mergeCell ref="V7:Y7"/>
    <mergeCell ref="A3:B3"/>
    <mergeCell ref="P6:Y6"/>
    <mergeCell ref="B68:H69"/>
    <mergeCell ref="A16:A18"/>
    <mergeCell ref="B16:B18"/>
    <mergeCell ref="B66:H66"/>
    <mergeCell ref="J16:R16"/>
    <mergeCell ref="F16:F18"/>
    <mergeCell ref="D16:D17"/>
    <mergeCell ref="G16:G17"/>
    <mergeCell ref="H16:H17"/>
    <mergeCell ref="C16:C17"/>
    <mergeCell ref="E16:E18"/>
  </mergeCells>
  <printOptions/>
  <pageMargins left="0.38" right="0.15748031496062992" top="0.2" bottom="0.15748031496062992" header="0.2" footer="0.15748031496062992"/>
  <pageSetup fitToHeight="0" fitToWidth="0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0"/>
  <sheetViews>
    <sheetView zoomScale="75" zoomScaleNormal="75" zoomScaleSheetLayoutView="70" workbookViewId="0" topLeftCell="A13">
      <selection activeCell="K21" sqref="K21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125" style="1" hidden="1" customWidth="1"/>
    <col min="4" max="4" width="0" style="1" hidden="1" customWidth="1"/>
    <col min="5" max="5" width="8.25390625" style="1" hidden="1" customWidth="1"/>
    <col min="6" max="6" width="9.625" style="1" hidden="1" customWidth="1"/>
    <col min="7" max="7" width="10.00390625" style="49" bestFit="1" customWidth="1"/>
    <col min="8" max="8" width="9.00390625" style="49" bestFit="1" customWidth="1"/>
    <col min="9" max="9" width="15.50390625" style="49" customWidth="1"/>
    <col min="10" max="10" width="11.00390625" style="49" customWidth="1"/>
    <col min="11" max="11" width="8.00390625" style="49" bestFit="1" customWidth="1"/>
    <col min="12" max="12" width="9.00390625" style="49" bestFit="1" customWidth="1"/>
    <col min="13" max="13" width="8.625" style="49" bestFit="1" customWidth="1"/>
    <col min="14" max="14" width="6.50390625" style="49" bestFit="1" customWidth="1"/>
    <col min="15" max="15" width="7.75390625" style="49" bestFit="1" customWidth="1"/>
    <col min="16" max="16" width="8.375" style="49" customWidth="1"/>
    <col min="17" max="17" width="10.00390625" style="49" customWidth="1"/>
    <col min="18" max="18" width="8.125" style="49" customWidth="1"/>
    <col min="19" max="19" width="8.125" style="188" customWidth="1"/>
    <col min="20" max="20" width="10.50390625" style="188" bestFit="1" customWidth="1"/>
    <col min="21" max="21" width="8.875" style="188" customWidth="1"/>
    <col min="22" max="34" width="8.75390625" style="1" hidden="1" customWidth="1"/>
    <col min="35" max="35" width="9.25390625" style="1" hidden="1" customWidth="1"/>
    <col min="36" max="16384" width="9.00390625" style="1" customWidth="1"/>
  </cols>
  <sheetData>
    <row r="1" spans="19:21" ht="15.75">
      <c r="S1" s="600" t="s">
        <v>537</v>
      </c>
      <c r="T1" s="620"/>
      <c r="U1" s="620"/>
    </row>
    <row r="2" spans="16:35" ht="15.75">
      <c r="P2" s="3"/>
      <c r="Q2" s="3"/>
      <c r="R2" s="3"/>
      <c r="U2" s="3" t="s">
        <v>7</v>
      </c>
      <c r="AI2" s="3" t="s">
        <v>38</v>
      </c>
    </row>
    <row r="3" spans="1:35" ht="15.75">
      <c r="A3" s="603" t="s">
        <v>276</v>
      </c>
      <c r="B3" s="569"/>
      <c r="P3" s="3"/>
      <c r="Q3" s="3"/>
      <c r="R3" s="3"/>
      <c r="S3" s="1"/>
      <c r="T3" s="1"/>
      <c r="U3" s="1"/>
      <c r="AI3" s="3" t="s">
        <v>7</v>
      </c>
    </row>
    <row r="4" spans="1:35" ht="15.75">
      <c r="A4" s="159"/>
      <c r="B4" s="130"/>
      <c r="P4" s="3"/>
      <c r="Q4" s="3"/>
      <c r="R4" s="3"/>
      <c r="S4" s="43"/>
      <c r="T4" s="43"/>
      <c r="U4" s="43"/>
      <c r="AI4" s="3"/>
    </row>
    <row r="5" spans="1:35" ht="15.75">
      <c r="A5" s="159"/>
      <c r="B5" s="130"/>
      <c r="P5" s="3"/>
      <c r="Q5" s="3"/>
      <c r="R5" s="3"/>
      <c r="S5" s="43"/>
      <c r="T5" s="599" t="s">
        <v>9</v>
      </c>
      <c r="U5" s="599"/>
      <c r="AI5" s="3"/>
    </row>
    <row r="6" spans="1:35" ht="15.75">
      <c r="A6" s="159"/>
      <c r="B6" s="130"/>
      <c r="P6" s="3"/>
      <c r="Q6" s="3"/>
      <c r="R6" s="599" t="s">
        <v>416</v>
      </c>
      <c r="S6" s="599"/>
      <c r="T6" s="599"/>
      <c r="U6" s="599"/>
      <c r="AI6" s="3"/>
    </row>
    <row r="7" spans="16:35" ht="15.75">
      <c r="P7" s="3"/>
      <c r="Q7" s="3"/>
      <c r="R7" s="600"/>
      <c r="S7" s="620"/>
      <c r="T7" s="620"/>
      <c r="U7" s="620"/>
      <c r="AI7" s="3" t="s">
        <v>8</v>
      </c>
    </row>
    <row r="8" spans="16:34" ht="15.75" customHeight="1">
      <c r="P8" s="601" t="s">
        <v>315</v>
      </c>
      <c r="Q8" s="601"/>
      <c r="R8" s="601"/>
      <c r="S8" s="601"/>
      <c r="T8" s="601"/>
      <c r="U8" s="600"/>
      <c r="AH8" s="3"/>
    </row>
    <row r="9" spans="16:34" ht="15.75">
      <c r="P9" s="3"/>
      <c r="Q9" s="599" t="s">
        <v>10</v>
      </c>
      <c r="R9" s="620"/>
      <c r="S9" s="620"/>
      <c r="T9" s="620"/>
      <c r="U9" s="620"/>
      <c r="AH9" s="3"/>
    </row>
    <row r="10" spans="16:34" ht="15.75">
      <c r="P10" s="3"/>
      <c r="Q10" s="3"/>
      <c r="R10" s="3"/>
      <c r="S10" s="43"/>
      <c r="T10" s="43"/>
      <c r="U10" s="43" t="s">
        <v>11</v>
      </c>
      <c r="AH10" s="3"/>
    </row>
    <row r="11" spans="16:34" ht="15.75">
      <c r="P11" s="3"/>
      <c r="Q11" s="3"/>
      <c r="R11" s="3"/>
      <c r="S11" s="43"/>
      <c r="T11" s="43"/>
      <c r="U11" s="43"/>
      <c r="AH11" s="3"/>
    </row>
    <row r="12" spans="1:25" ht="18.75">
      <c r="A12" s="628" t="str">
        <f>'приложение 1.2 2016-2017 ген'!A12</f>
        <v>Стоимость основных этапов работ по реализации инвестиционной программы компании</v>
      </c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4"/>
      <c r="W12" s="4"/>
      <c r="X12" s="4"/>
      <c r="Y12" s="4"/>
    </row>
    <row r="13" spans="1:25" ht="18.75">
      <c r="A13" s="628" t="str">
        <f>'приложение 1.2 2016-2017 ген'!A13</f>
        <v>на 2016 - 2017 годы</v>
      </c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4"/>
      <c r="W13" s="4"/>
      <c r="X13" s="4"/>
      <c r="Y13" s="4"/>
    </row>
    <row r="14" spans="1:25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84" t="s">
        <v>306</v>
      </c>
      <c r="U15" s="584"/>
      <c r="V15" s="4"/>
      <c r="W15" s="4"/>
      <c r="X15" s="4"/>
      <c r="Y15" s="4"/>
    </row>
    <row r="16" spans="1:35" ht="27.75" customHeight="1">
      <c r="A16" s="575" t="s">
        <v>12</v>
      </c>
      <c r="B16" s="587" t="s">
        <v>39</v>
      </c>
      <c r="C16" s="596" t="s">
        <v>40</v>
      </c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8"/>
      <c r="Q16" s="575" t="s">
        <v>2</v>
      </c>
      <c r="R16" s="575"/>
      <c r="S16" s="575"/>
      <c r="T16" s="575"/>
      <c r="U16" s="575"/>
      <c r="V16" s="592" t="s">
        <v>40</v>
      </c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</row>
    <row r="17" spans="1:35" ht="21" customHeight="1">
      <c r="A17" s="575"/>
      <c r="B17" s="588"/>
      <c r="C17" s="593" t="s">
        <v>41</v>
      </c>
      <c r="D17" s="594"/>
      <c r="E17" s="594"/>
      <c r="F17" s="595"/>
      <c r="G17" s="592" t="s">
        <v>42</v>
      </c>
      <c r="H17" s="592"/>
      <c r="I17" s="592"/>
      <c r="J17" s="592"/>
      <c r="K17" s="592" t="s">
        <v>43</v>
      </c>
      <c r="L17" s="592"/>
      <c r="M17" s="592"/>
      <c r="N17" s="592"/>
      <c r="O17" s="592"/>
      <c r="P17" s="592" t="s">
        <v>44</v>
      </c>
      <c r="Q17" s="575"/>
      <c r="R17" s="575"/>
      <c r="S17" s="575"/>
      <c r="T17" s="575"/>
      <c r="U17" s="575"/>
      <c r="V17" s="593" t="s">
        <v>41</v>
      </c>
      <c r="W17" s="594"/>
      <c r="X17" s="594"/>
      <c r="Y17" s="595"/>
      <c r="Z17" s="592" t="s">
        <v>42</v>
      </c>
      <c r="AA17" s="592"/>
      <c r="AB17" s="592"/>
      <c r="AC17" s="592"/>
      <c r="AD17" s="592" t="s">
        <v>43</v>
      </c>
      <c r="AE17" s="592"/>
      <c r="AF17" s="592"/>
      <c r="AG17" s="592"/>
      <c r="AH17" s="592"/>
      <c r="AI17" s="590" t="s">
        <v>45</v>
      </c>
    </row>
    <row r="18" spans="1:35" ht="72.75" customHeight="1">
      <c r="A18" s="6"/>
      <c r="B18" s="589"/>
      <c r="C18" s="34" t="s">
        <v>46</v>
      </c>
      <c r="D18" s="35" t="s">
        <v>47</v>
      </c>
      <c r="E18" s="14" t="s">
        <v>48</v>
      </c>
      <c r="F18" s="14" t="s">
        <v>49</v>
      </c>
      <c r="G18" s="34" t="s">
        <v>46</v>
      </c>
      <c r="H18" s="35" t="s">
        <v>47</v>
      </c>
      <c r="I18" s="35" t="s">
        <v>50</v>
      </c>
      <c r="J18" s="35" t="s">
        <v>51</v>
      </c>
      <c r="K18" s="34" t="s">
        <v>52</v>
      </c>
      <c r="L18" s="35" t="s">
        <v>47</v>
      </c>
      <c r="M18" s="34" t="s">
        <v>53</v>
      </c>
      <c r="N18" s="34" t="s">
        <v>54</v>
      </c>
      <c r="O18" s="35" t="s">
        <v>55</v>
      </c>
      <c r="P18" s="592"/>
      <c r="Q18" s="37" t="s">
        <v>56</v>
      </c>
      <c r="R18" s="37" t="s">
        <v>57</v>
      </c>
      <c r="S18" s="37" t="s">
        <v>58</v>
      </c>
      <c r="T18" s="37" t="s">
        <v>59</v>
      </c>
      <c r="U18" s="37" t="s">
        <v>60</v>
      </c>
      <c r="V18" s="34" t="s">
        <v>46</v>
      </c>
      <c r="W18" s="38" t="s">
        <v>61</v>
      </c>
      <c r="X18" s="14" t="s">
        <v>48</v>
      </c>
      <c r="Y18" s="14" t="s">
        <v>62</v>
      </c>
      <c r="Z18" s="34" t="s">
        <v>46</v>
      </c>
      <c r="AA18" s="35" t="s">
        <v>47</v>
      </c>
      <c r="AB18" s="35" t="s">
        <v>50</v>
      </c>
      <c r="AC18" s="35" t="s">
        <v>51</v>
      </c>
      <c r="AD18" s="34" t="s">
        <v>52</v>
      </c>
      <c r="AE18" s="35" t="s">
        <v>47</v>
      </c>
      <c r="AF18" s="36" t="s">
        <v>53</v>
      </c>
      <c r="AG18" s="34" t="s">
        <v>54</v>
      </c>
      <c r="AH18" s="35" t="s">
        <v>55</v>
      </c>
      <c r="AI18" s="591"/>
    </row>
    <row r="19" spans="1:37" ht="37.5">
      <c r="A19" s="279"/>
      <c r="B19" s="279" t="str">
        <f>'приложение 1.1 2016-2017 тр'!B20</f>
        <v>Откорректировано транзит, всего</v>
      </c>
      <c r="C19" s="290"/>
      <c r="D19" s="302"/>
      <c r="E19" s="279"/>
      <c r="F19" s="279"/>
      <c r="G19" s="290"/>
      <c r="H19" s="302"/>
      <c r="I19" s="302"/>
      <c r="J19" s="302"/>
      <c r="K19" s="290"/>
      <c r="L19" s="302"/>
      <c r="M19" s="290"/>
      <c r="N19" s="290"/>
      <c r="O19" s="302"/>
      <c r="P19" s="290"/>
      <c r="Q19" s="280">
        <f>Q21+Q35+Q41+Q44+1</f>
        <v>43099.00354</v>
      </c>
      <c r="R19" s="280">
        <f aca="true" t="shared" si="0" ref="R19:AI19">R21+R35+R41+R44</f>
        <v>0</v>
      </c>
      <c r="S19" s="280">
        <f t="shared" si="0"/>
        <v>11310.85</v>
      </c>
      <c r="T19" s="280">
        <f t="shared" si="0"/>
        <v>31363.28854</v>
      </c>
      <c r="U19" s="280">
        <f t="shared" si="0"/>
        <v>423.865</v>
      </c>
      <c r="V19" s="280" t="e">
        <f t="shared" si="0"/>
        <v>#REF!</v>
      </c>
      <c r="W19" s="280" t="e">
        <f t="shared" si="0"/>
        <v>#REF!</v>
      </c>
      <c r="X19" s="280" t="e">
        <f t="shared" si="0"/>
        <v>#REF!</v>
      </c>
      <c r="Y19" s="280" t="e">
        <f t="shared" si="0"/>
        <v>#REF!</v>
      </c>
      <c r="Z19" s="280" t="e">
        <f t="shared" si="0"/>
        <v>#REF!</v>
      </c>
      <c r="AA19" s="280" t="e">
        <f t="shared" si="0"/>
        <v>#REF!</v>
      </c>
      <c r="AB19" s="280" t="e">
        <f t="shared" si="0"/>
        <v>#REF!</v>
      </c>
      <c r="AC19" s="280" t="e">
        <f t="shared" si="0"/>
        <v>#REF!</v>
      </c>
      <c r="AD19" s="280" t="e">
        <f t="shared" si="0"/>
        <v>#REF!</v>
      </c>
      <c r="AE19" s="280" t="e">
        <f t="shared" si="0"/>
        <v>#REF!</v>
      </c>
      <c r="AF19" s="280" t="e">
        <f t="shared" si="0"/>
        <v>#REF!</v>
      </c>
      <c r="AG19" s="280" t="e">
        <f t="shared" si="0"/>
        <v>#REF!</v>
      </c>
      <c r="AH19" s="280" t="e">
        <f t="shared" si="0"/>
        <v>#REF!</v>
      </c>
      <c r="AI19" s="280" t="e">
        <f t="shared" si="0"/>
        <v>#REF!</v>
      </c>
      <c r="AJ19" s="111"/>
      <c r="AK19" s="323"/>
    </row>
    <row r="20" spans="1:35" ht="18.75" hidden="1">
      <c r="A20" s="675" t="e">
        <f>'приложение 1.1 2016-2017 тр'!#REF!</f>
        <v>#REF!</v>
      </c>
      <c r="B20" s="676"/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7"/>
      <c r="V20" s="34"/>
      <c r="W20" s="38"/>
      <c r="X20" s="14"/>
      <c r="Y20" s="14"/>
      <c r="Z20" s="34"/>
      <c r="AA20" s="35"/>
      <c r="AB20" s="35"/>
      <c r="AC20" s="35"/>
      <c r="AD20" s="34"/>
      <c r="AE20" s="35"/>
      <c r="AF20" s="36"/>
      <c r="AG20" s="34"/>
      <c r="AH20" s="35"/>
      <c r="AI20" s="48"/>
    </row>
    <row r="21" spans="1:35" ht="31.5">
      <c r="A21" s="6">
        <v>1</v>
      </c>
      <c r="B21" s="6" t="str">
        <f>'приложение 1.1 2016-2017 тр'!B21</f>
        <v>Техническое перевооружение и реконструкция</v>
      </c>
      <c r="C21" s="6"/>
      <c r="D21" s="6"/>
      <c r="E21" s="6"/>
      <c r="F21" s="6"/>
      <c r="G21" s="6"/>
      <c r="H21" s="6"/>
      <c r="I21" s="6">
        <v>9</v>
      </c>
      <c r="J21" s="6" t="s">
        <v>368</v>
      </c>
      <c r="K21" s="6"/>
      <c r="L21" s="6"/>
      <c r="M21" s="6"/>
      <c r="N21" s="6"/>
      <c r="O21" s="6"/>
      <c r="P21" s="6"/>
      <c r="Q21" s="182">
        <f>Q22+Q32+Q34</f>
        <v>40254.47654</v>
      </c>
      <c r="R21" s="182">
        <f>R22+R32+R34</f>
        <v>0</v>
      </c>
      <c r="S21" s="182">
        <f>S22+S32+S34</f>
        <v>10374</v>
      </c>
      <c r="T21" s="182">
        <f>T22+T32+T34</f>
        <v>29880.47654</v>
      </c>
      <c r="U21" s="182">
        <f>U22+U32+U34</f>
        <v>0</v>
      </c>
      <c r="V21" s="6"/>
      <c r="W21" s="6"/>
      <c r="X21" s="6"/>
      <c r="Y21" s="6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31.5">
      <c r="A22" s="40" t="s">
        <v>22</v>
      </c>
      <c r="B22" s="6" t="str">
        <f>'приложение 1.1 2016-2017 тр'!B22</f>
        <v>Энергосбережение и повышение энергетической эффективности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82">
        <f>Q23+Q24+Q25+Q26+Q27+Q28+Q29+Q30+Q31</f>
        <v>40254.47654</v>
      </c>
      <c r="R22" s="182">
        <f aca="true" t="shared" si="1" ref="R22:AI22">R23+R24+R25+R26+R27+R28+R29+R30+R31</f>
        <v>0</v>
      </c>
      <c r="S22" s="182">
        <f t="shared" si="1"/>
        <v>10374</v>
      </c>
      <c r="T22" s="182">
        <f t="shared" si="1"/>
        <v>29880.47654</v>
      </c>
      <c r="U22" s="182">
        <f>U23+U24+U25+U26+U27+U28+U29+U30+U31</f>
        <v>0</v>
      </c>
      <c r="V22" s="182">
        <f t="shared" si="1"/>
        <v>0</v>
      </c>
      <c r="W22" s="182">
        <f t="shared" si="1"/>
        <v>0</v>
      </c>
      <c r="X22" s="182">
        <f t="shared" si="1"/>
        <v>0</v>
      </c>
      <c r="Y22" s="182">
        <f t="shared" si="1"/>
        <v>0</v>
      </c>
      <c r="Z22" s="182">
        <f t="shared" si="1"/>
        <v>0</v>
      </c>
      <c r="AA22" s="182">
        <f t="shared" si="1"/>
        <v>0</v>
      </c>
      <c r="AB22" s="182">
        <f t="shared" si="1"/>
        <v>0</v>
      </c>
      <c r="AC22" s="182">
        <f t="shared" si="1"/>
        <v>0</v>
      </c>
      <c r="AD22" s="182">
        <f t="shared" si="1"/>
        <v>0</v>
      </c>
      <c r="AE22" s="182">
        <f t="shared" si="1"/>
        <v>0</v>
      </c>
      <c r="AF22" s="182">
        <f t="shared" si="1"/>
        <v>0</v>
      </c>
      <c r="AG22" s="182">
        <f t="shared" si="1"/>
        <v>0</v>
      </c>
      <c r="AH22" s="182">
        <f t="shared" si="1"/>
        <v>0</v>
      </c>
      <c r="AI22" s="182">
        <f t="shared" si="1"/>
        <v>0</v>
      </c>
    </row>
    <row r="23" spans="1:35" ht="36" customHeight="1">
      <c r="A23" s="14" t="str">
        <f>'приложение 1.1 2016-2017 тр'!A23</f>
        <v>1.1.1.</v>
      </c>
      <c r="B23" s="19" t="str">
        <f>'приложение 1.1 2016-2017 тр'!B23</f>
        <v>Замена электрооборудования трансформаторной подстанции</v>
      </c>
      <c r="C23" s="39"/>
      <c r="D23" s="39"/>
      <c r="E23" s="14"/>
      <c r="F23" s="17"/>
      <c r="G23" s="14">
        <f>'приложение 1.1 2016-2017 тр'!F23+1</f>
        <v>2016</v>
      </c>
      <c r="H23" s="14">
        <v>10</v>
      </c>
      <c r="I23" s="14" t="s">
        <v>366</v>
      </c>
      <c r="J23" s="14" t="str">
        <f>'приложение 1.1 2016-2017 тр'!D23</f>
        <v>1,4 МВА</v>
      </c>
      <c r="K23" s="14"/>
      <c r="L23" s="14"/>
      <c r="M23" s="14"/>
      <c r="N23" s="14"/>
      <c r="O23" s="14"/>
      <c r="P23" s="14"/>
      <c r="Q23" s="161">
        <f aca="true" t="shared" si="2" ref="Q23:Q30">R23+S23+T23+U23</f>
        <v>0</v>
      </c>
      <c r="R23" s="161"/>
      <c r="S23" s="161"/>
      <c r="T23" s="161"/>
      <c r="U23" s="161">
        <v>0</v>
      </c>
      <c r="V23" s="6"/>
      <c r="W23" s="17"/>
      <c r="X23" s="17"/>
      <c r="Y23" s="17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ht="31.5">
      <c r="A24" s="14" t="str">
        <f>'приложение 1.1 2016-2017 тр'!A24</f>
        <v>1.1.2.</v>
      </c>
      <c r="B24" s="19" t="str">
        <f>'приложение 1.1 2016-2017 тр'!B24</f>
        <v>Замена электрооборудования трансформаторной подстанции</v>
      </c>
      <c r="C24" s="39"/>
      <c r="D24" s="39"/>
      <c r="E24" s="14"/>
      <c r="F24" s="17"/>
      <c r="G24" s="14">
        <f>'приложение 1.1 2016-2017 тр'!F24+1</f>
        <v>2015</v>
      </c>
      <c r="H24" s="14">
        <v>10</v>
      </c>
      <c r="I24" s="14" t="s">
        <v>365</v>
      </c>
      <c r="J24" s="14" t="str">
        <f>'приложение 1.1 2016-2017 тр'!D24</f>
        <v>2,0 МВА</v>
      </c>
      <c r="K24" s="14"/>
      <c r="L24" s="14"/>
      <c r="M24" s="14"/>
      <c r="N24" s="14"/>
      <c r="O24" s="14"/>
      <c r="P24" s="14"/>
      <c r="Q24" s="161">
        <f t="shared" si="2"/>
        <v>0</v>
      </c>
      <c r="R24" s="161"/>
      <c r="S24" s="161"/>
      <c r="T24" s="161"/>
      <c r="U24" s="161">
        <v>0</v>
      </c>
      <c r="V24" s="6"/>
      <c r="W24" s="17"/>
      <c r="X24" s="17"/>
      <c r="Y24" s="17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ht="31.5">
      <c r="A25" s="14" t="str">
        <f>'приложение 1.1 2016-2017 тр'!A25</f>
        <v>1.1.3.</v>
      </c>
      <c r="B25" s="19" t="str">
        <f>'приложение 1.1 2016-2017 тр'!B25</f>
        <v>Замена электрооборудования трансформаторной подстанции</v>
      </c>
      <c r="C25" s="39"/>
      <c r="D25" s="39"/>
      <c r="E25" s="14"/>
      <c r="F25" s="17"/>
      <c r="G25" s="14">
        <f>'приложение 1.1 2016-2017 тр'!F25+1</f>
        <v>2017</v>
      </c>
      <c r="H25" s="14">
        <v>10</v>
      </c>
      <c r="I25" s="14" t="s">
        <v>328</v>
      </c>
      <c r="J25" s="14" t="str">
        <f>'приложение 1.1 2016-2017 тр'!D25</f>
        <v>0,4 МВА</v>
      </c>
      <c r="K25" s="14"/>
      <c r="L25" s="14"/>
      <c r="M25" s="14"/>
      <c r="N25" s="14"/>
      <c r="O25" s="14"/>
      <c r="P25" s="14"/>
      <c r="Q25" s="161">
        <f t="shared" si="2"/>
        <v>3458</v>
      </c>
      <c r="R25" s="161">
        <v>0</v>
      </c>
      <c r="S25" s="161">
        <v>3458</v>
      </c>
      <c r="T25" s="161">
        <v>0</v>
      </c>
      <c r="U25" s="161">
        <v>0</v>
      </c>
      <c r="V25" s="6"/>
      <c r="W25" s="17"/>
      <c r="X25" s="17"/>
      <c r="Y25" s="17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ht="31.5">
      <c r="A26" s="14" t="str">
        <f>'приложение 1.1 2016-2017 тр'!A26</f>
        <v>1.1.4.</v>
      </c>
      <c r="B26" s="19" t="str">
        <f>'приложение 1.1 2016-2017 тр'!B26</f>
        <v>Замена электрооборудования трансформаторной подстанции</v>
      </c>
      <c r="C26" s="39"/>
      <c r="D26" s="39"/>
      <c r="E26" s="14"/>
      <c r="F26" s="17"/>
      <c r="G26" s="14"/>
      <c r="H26" s="14"/>
      <c r="I26" s="14" t="s">
        <v>367</v>
      </c>
      <c r="J26" s="14" t="str">
        <f>'приложение 1.1 2016-2017 тр'!D26</f>
        <v>1,25 МВА</v>
      </c>
      <c r="K26" s="14"/>
      <c r="L26" s="14"/>
      <c r="M26" s="14"/>
      <c r="N26" s="14"/>
      <c r="O26" s="14"/>
      <c r="P26" s="14"/>
      <c r="Q26" s="161">
        <f t="shared" si="2"/>
        <v>0</v>
      </c>
      <c r="R26" s="161"/>
      <c r="S26" s="161"/>
      <c r="T26" s="161"/>
      <c r="U26" s="161">
        <v>0</v>
      </c>
      <c r="V26" s="6"/>
      <c r="W26" s="17"/>
      <c r="X26" s="17"/>
      <c r="Y26" s="17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ht="31.5">
      <c r="A27" s="14" t="str">
        <f>'приложение 1.1 2016-2017 тр'!A27</f>
        <v>1.1.5.</v>
      </c>
      <c r="B27" s="19" t="str">
        <f>'приложение 1.1 2016-2017 тр'!B27</f>
        <v>Замена электрооборудования трансформаторной подстанции</v>
      </c>
      <c r="C27" s="39"/>
      <c r="D27" s="39"/>
      <c r="E27" s="14"/>
      <c r="F27" s="17"/>
      <c r="G27" s="14" t="s">
        <v>507</v>
      </c>
      <c r="H27" s="14">
        <v>10</v>
      </c>
      <c r="I27" s="14" t="s">
        <v>329</v>
      </c>
      <c r="J27" s="14" t="str">
        <f>'приложение 1.1 2016-2017 тр'!D27</f>
        <v>0,63 МВА</v>
      </c>
      <c r="K27" s="14"/>
      <c r="L27" s="14"/>
      <c r="M27" s="14"/>
      <c r="N27" s="14"/>
      <c r="O27" s="14"/>
      <c r="P27" s="14"/>
      <c r="Q27" s="161">
        <f t="shared" si="2"/>
        <v>9040.43954</v>
      </c>
      <c r="R27" s="161">
        <v>0</v>
      </c>
      <c r="S27" s="161">
        <v>3458</v>
      </c>
      <c r="T27" s="161">
        <f>459.05792+451+451+4221.38162</f>
        <v>5582.43954</v>
      </c>
      <c r="U27" s="161">
        <v>0</v>
      </c>
      <c r="V27" s="6"/>
      <c r="W27" s="17"/>
      <c r="X27" s="17"/>
      <c r="Y27" s="17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ht="15.75">
      <c r="A28" s="14" t="str">
        <f>'приложение 1.1 2016-2017 тр'!A28</f>
        <v>1.1.6.</v>
      </c>
      <c r="B28" s="19" t="str">
        <f>'приложение 1.1 2016-2017 тр'!B28</f>
        <v>Строительство КТПН</v>
      </c>
      <c r="C28" s="39"/>
      <c r="D28" s="39"/>
      <c r="E28" s="14"/>
      <c r="F28" s="17"/>
      <c r="G28" s="14" t="s">
        <v>508</v>
      </c>
      <c r="H28" s="14">
        <v>10</v>
      </c>
      <c r="I28" s="14" t="s">
        <v>329</v>
      </c>
      <c r="J28" s="14" t="str">
        <f>'приложение 1.1 2016-2017 тр'!D28</f>
        <v>0,63 МВА</v>
      </c>
      <c r="K28" s="14"/>
      <c r="L28" s="14"/>
      <c r="M28" s="14"/>
      <c r="N28" s="14"/>
      <c r="O28" s="14"/>
      <c r="P28" s="14"/>
      <c r="Q28" s="161">
        <f t="shared" si="2"/>
        <v>0</v>
      </c>
      <c r="R28" s="161"/>
      <c r="S28" s="161"/>
      <c r="T28" s="161"/>
      <c r="U28" s="161">
        <v>0</v>
      </c>
      <c r="V28" s="6"/>
      <c r="W28" s="17"/>
      <c r="X28" s="17"/>
      <c r="Y28" s="17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ht="33.75" customHeight="1">
      <c r="A29" s="14" t="str">
        <f>'приложение 1.1 2016-2017 тр'!A29</f>
        <v>1.1.7.</v>
      </c>
      <c r="B29" s="19" t="str">
        <f>'приложение 1.1 2016-2017 тр'!B29</f>
        <v>Реконструкция 1 секции ЗРУ-6 кВ, РУСН-0.4 кВ</v>
      </c>
      <c r="C29" s="39"/>
      <c r="D29" s="39"/>
      <c r="E29" s="14"/>
      <c r="F29" s="17"/>
      <c r="G29" s="14" t="s">
        <v>508</v>
      </c>
      <c r="H29" s="14">
        <v>10</v>
      </c>
      <c r="I29" s="14"/>
      <c r="J29" s="14"/>
      <c r="K29" s="14"/>
      <c r="L29" s="14"/>
      <c r="M29" s="14"/>
      <c r="N29" s="14"/>
      <c r="O29" s="14"/>
      <c r="P29" s="14"/>
      <c r="Q29" s="161">
        <f t="shared" si="2"/>
        <v>0</v>
      </c>
      <c r="R29" s="161"/>
      <c r="S29" s="161"/>
      <c r="T29" s="161"/>
      <c r="U29" s="161">
        <v>0</v>
      </c>
      <c r="V29" s="6"/>
      <c r="W29" s="17"/>
      <c r="X29" s="17"/>
      <c r="Y29" s="17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374" customFormat="1" ht="33.75" customHeight="1">
      <c r="A30" s="14" t="str">
        <f>'приложение 1.1 2016-2017 тр'!A30</f>
        <v>1.1.8.</v>
      </c>
      <c r="B30" s="19" t="str">
        <f>'приложение 1.1 2016-2017 тр'!B30</f>
        <v>Реконструкция 2 секции ЗРУ-6 кВ</v>
      </c>
      <c r="C30" s="371"/>
      <c r="D30" s="371"/>
      <c r="E30" s="168"/>
      <c r="F30" s="286"/>
      <c r="G30" s="14" t="s">
        <v>507</v>
      </c>
      <c r="H30" s="14">
        <v>10</v>
      </c>
      <c r="I30" s="168"/>
      <c r="J30" s="168"/>
      <c r="K30" s="168"/>
      <c r="L30" s="168"/>
      <c r="M30" s="168"/>
      <c r="N30" s="168"/>
      <c r="O30" s="168"/>
      <c r="P30" s="168"/>
      <c r="Q30" s="161">
        <f t="shared" si="2"/>
        <v>15582.037</v>
      </c>
      <c r="R30" s="161">
        <v>0</v>
      </c>
      <c r="S30" s="161">
        <v>3458</v>
      </c>
      <c r="T30" s="161">
        <f>1534.037+10590</f>
        <v>12124.037</v>
      </c>
      <c r="U30" s="161">
        <v>0</v>
      </c>
      <c r="V30" s="42"/>
      <c r="W30" s="286"/>
      <c r="X30" s="286"/>
      <c r="Y30" s="286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</row>
    <row r="31" spans="1:35" s="374" customFormat="1" ht="33.75" customHeight="1">
      <c r="A31" s="14" t="str">
        <f>'приложение 1.1 2016-2017 тр'!A31</f>
        <v>1.1.9.</v>
      </c>
      <c r="B31" s="19" t="str">
        <f>'приложение 1.1 2016-2017 тр'!B31</f>
        <v>Реконструкция РП - 6 кВ </v>
      </c>
      <c r="C31" s="371"/>
      <c r="D31" s="371"/>
      <c r="E31" s="168"/>
      <c r="F31" s="286"/>
      <c r="G31" s="14" t="s">
        <v>509</v>
      </c>
      <c r="H31" s="14">
        <v>10</v>
      </c>
      <c r="I31" s="168"/>
      <c r="J31" s="168"/>
      <c r="K31" s="168"/>
      <c r="L31" s="168"/>
      <c r="M31" s="168"/>
      <c r="N31" s="168"/>
      <c r="O31" s="168"/>
      <c r="P31" s="168"/>
      <c r="Q31" s="161">
        <f>R31+S31+T31+U31</f>
        <v>12174</v>
      </c>
      <c r="R31" s="161">
        <v>0</v>
      </c>
      <c r="S31" s="161">
        <v>0</v>
      </c>
      <c r="T31" s="161">
        <f>12174</f>
        <v>12174</v>
      </c>
      <c r="U31" s="161">
        <v>0</v>
      </c>
      <c r="V31" s="42"/>
      <c r="W31" s="286"/>
      <c r="X31" s="286"/>
      <c r="Y31" s="286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</row>
    <row r="32" spans="1:35" ht="31.5">
      <c r="A32" s="6" t="str">
        <f>'приложение 1.1 2016-2017 тр'!A32</f>
        <v>1.2.</v>
      </c>
      <c r="B32" s="22" t="str">
        <f>'приложение 1.1 2016-2017 тр'!B32</f>
        <v>Создание систем телемеханики  и связи 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82">
        <f>Q33</f>
        <v>0</v>
      </c>
      <c r="R32" s="182">
        <f>R33</f>
        <v>0</v>
      </c>
      <c r="S32" s="182">
        <f>S33</f>
        <v>0</v>
      </c>
      <c r="T32" s="182">
        <f>T33</f>
        <v>0</v>
      </c>
      <c r="U32" s="182">
        <f>U33</f>
        <v>0</v>
      </c>
      <c r="V32" s="6"/>
      <c r="W32" s="6"/>
      <c r="X32" s="6"/>
      <c r="Y32" s="6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ht="31.5">
      <c r="A33" s="14" t="str">
        <f>'приложение 1.1 2016-2017 тр'!A33</f>
        <v>1.2.1.</v>
      </c>
      <c r="B33" s="19" t="str">
        <f>'приложение 1.1 2016-2017 тр'!B33</f>
        <v>Прокладка оптоволоконного кабеля АСУТП</v>
      </c>
      <c r="C33" s="17"/>
      <c r="D33" s="17"/>
      <c r="E33" s="17"/>
      <c r="F33" s="1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61">
        <f>R33+S33+T33+U33</f>
        <v>0</v>
      </c>
      <c r="R33" s="161">
        <v>0</v>
      </c>
      <c r="S33" s="161">
        <v>0</v>
      </c>
      <c r="T33" s="161">
        <v>0</v>
      </c>
      <c r="U33" s="287">
        <v>0</v>
      </c>
      <c r="V33" s="17"/>
      <c r="W33" s="17"/>
      <c r="X33" s="17"/>
      <c r="Y33" s="17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47.25" hidden="1">
      <c r="A34" s="6" t="str">
        <f>'приложение 1.1 2016-2017 тр'!A34</f>
        <v>1.3.</v>
      </c>
      <c r="B34" s="23" t="str">
        <f>'приложение 1.1 2016-2017 тр'!B34</f>
        <v>Установка устройств регулирования напряжения и компенсации реактивной мощности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57">
        <v>0</v>
      </c>
      <c r="R34" s="182">
        <v>0</v>
      </c>
      <c r="S34" s="182">
        <v>0</v>
      </c>
      <c r="T34" s="182">
        <v>0</v>
      </c>
      <c r="U34" s="182">
        <v>0</v>
      </c>
      <c r="V34" s="182" t="e">
        <f>#REF!</f>
        <v>#REF!</v>
      </c>
      <c r="W34" s="182" t="e">
        <f>#REF!</f>
        <v>#REF!</v>
      </c>
      <c r="X34" s="182" t="e">
        <f>#REF!</f>
        <v>#REF!</v>
      </c>
      <c r="Y34" s="182" t="e">
        <f>#REF!</f>
        <v>#REF!</v>
      </c>
      <c r="Z34" s="182" t="e">
        <f>#REF!</f>
        <v>#REF!</v>
      </c>
      <c r="AA34" s="182" t="e">
        <f>#REF!</f>
        <v>#REF!</v>
      </c>
      <c r="AB34" s="182" t="e">
        <f>#REF!</f>
        <v>#REF!</v>
      </c>
      <c r="AC34" s="182" t="e">
        <f>#REF!</f>
        <v>#REF!</v>
      </c>
      <c r="AD34" s="182" t="e">
        <f>#REF!</f>
        <v>#REF!</v>
      </c>
      <c r="AE34" s="182" t="e">
        <f>#REF!</f>
        <v>#REF!</v>
      </c>
      <c r="AF34" s="182" t="e">
        <f>#REF!</f>
        <v>#REF!</v>
      </c>
      <c r="AG34" s="182" t="e">
        <f>#REF!</f>
        <v>#REF!</v>
      </c>
      <c r="AH34" s="182" t="e">
        <f>#REF!</f>
        <v>#REF!</v>
      </c>
      <c r="AI34" s="182" t="e">
        <f>#REF!</f>
        <v>#REF!</v>
      </c>
    </row>
    <row r="35" spans="1:35" ht="15.75">
      <c r="A35" s="6">
        <f>'приложение 1.1 2016-2017 тр'!A35</f>
        <v>2</v>
      </c>
      <c r="B35" s="22" t="str">
        <f>'приложение 1.1 2016-2017 тр'!B35</f>
        <v>Новое строительство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82">
        <f>Q36</f>
        <v>2419.662</v>
      </c>
      <c r="R35" s="182">
        <f>R36</f>
        <v>0</v>
      </c>
      <c r="S35" s="182">
        <f>S36</f>
        <v>936.85</v>
      </c>
      <c r="T35" s="182">
        <f>T36</f>
        <v>1482.812</v>
      </c>
      <c r="U35" s="182">
        <f>U36</f>
        <v>0</v>
      </c>
      <c r="V35" s="182" t="e">
        <f>#REF!</f>
        <v>#REF!</v>
      </c>
      <c r="W35" s="182" t="e">
        <f>#REF!</f>
        <v>#REF!</v>
      </c>
      <c r="X35" s="182" t="e">
        <f>#REF!</f>
        <v>#REF!</v>
      </c>
      <c r="Y35" s="182" t="e">
        <f>#REF!</f>
        <v>#REF!</v>
      </c>
      <c r="Z35" s="182" t="e">
        <f>#REF!</f>
        <v>#REF!</v>
      </c>
      <c r="AA35" s="182" t="e">
        <f>#REF!</f>
        <v>#REF!</v>
      </c>
      <c r="AB35" s="182" t="e">
        <f>#REF!</f>
        <v>#REF!</v>
      </c>
      <c r="AC35" s="182" t="e">
        <f>#REF!</f>
        <v>#REF!</v>
      </c>
      <c r="AD35" s="182" t="e">
        <f>#REF!</f>
        <v>#REF!</v>
      </c>
      <c r="AE35" s="182" t="e">
        <f>#REF!</f>
        <v>#REF!</v>
      </c>
      <c r="AF35" s="182" t="e">
        <f>#REF!</f>
        <v>#REF!</v>
      </c>
      <c r="AG35" s="182" t="e">
        <f>#REF!</f>
        <v>#REF!</v>
      </c>
      <c r="AH35" s="182" t="e">
        <f>#REF!</f>
        <v>#REF!</v>
      </c>
      <c r="AI35" s="182" t="e">
        <f>#REF!</f>
        <v>#REF!</v>
      </c>
    </row>
    <row r="36" spans="1:35" ht="31.5">
      <c r="A36" s="6" t="str">
        <f>'приложение 1.1 2016-2017 тр'!A36</f>
        <v>2.1.</v>
      </c>
      <c r="B36" s="22" t="str">
        <f>'приложение 1.1 2016-2017 тр'!B36</f>
        <v>Энергосбережение и повышение энергетической эффективности</v>
      </c>
      <c r="C36" s="41"/>
      <c r="D36" s="41"/>
      <c r="E36" s="41"/>
      <c r="F36" s="41"/>
      <c r="G36" s="4"/>
      <c r="H36" s="6"/>
      <c r="I36" s="6"/>
      <c r="J36" s="6"/>
      <c r="K36" s="6"/>
      <c r="L36" s="6"/>
      <c r="M36" s="6"/>
      <c r="N36" s="6"/>
      <c r="O36" s="6"/>
      <c r="P36" s="6"/>
      <c r="Q36" s="182">
        <f>SUM(Q37:Q40)</f>
        <v>2419.662</v>
      </c>
      <c r="R36" s="182">
        <f>SUM(R37:R40)</f>
        <v>0</v>
      </c>
      <c r="S36" s="182">
        <f>SUM(S37:S40)</f>
        <v>936.85</v>
      </c>
      <c r="T36" s="182">
        <f>SUM(T37:T40)</f>
        <v>1482.812</v>
      </c>
      <c r="U36" s="182">
        <f>SUM(U37:U40)</f>
        <v>0</v>
      </c>
      <c r="V36" s="17"/>
      <c r="W36" s="17"/>
      <c r="X36" s="17"/>
      <c r="Y36" s="17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374" customFormat="1" ht="23.25" customHeight="1">
      <c r="A37" s="14" t="str">
        <f>'приложение 1.1 2016-2017 тр'!A37</f>
        <v>2.1.1.</v>
      </c>
      <c r="B37" s="19" t="str">
        <f>'приложение 1.1 2016-2017 тр'!B37</f>
        <v>Реконструкция ВЛ - 6 кВ</v>
      </c>
      <c r="C37" s="17"/>
      <c r="D37" s="17"/>
      <c r="E37" s="17"/>
      <c r="F37" s="17"/>
      <c r="G37" s="14"/>
      <c r="H37" s="14"/>
      <c r="I37" s="14"/>
      <c r="J37" s="14"/>
      <c r="K37" s="14">
        <v>2016</v>
      </c>
      <c r="L37" s="14"/>
      <c r="M37" s="14"/>
      <c r="N37" s="14"/>
      <c r="O37" s="14">
        <v>2.5</v>
      </c>
      <c r="P37" s="14"/>
      <c r="Q37" s="161">
        <f>R37+S37+T37+U37</f>
        <v>0</v>
      </c>
      <c r="R37" s="556"/>
      <c r="S37" s="556"/>
      <c r="T37" s="556"/>
      <c r="U37" s="287">
        <v>0</v>
      </c>
      <c r="V37" s="286"/>
      <c r="W37" s="286"/>
      <c r="X37" s="286"/>
      <c r="Y37" s="286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</row>
    <row r="38" spans="1:35" s="374" customFormat="1" ht="33" customHeight="1">
      <c r="A38" s="168"/>
      <c r="B38" s="19" t="str">
        <f>'приложение 1.1 2016-2017 тр'!B38</f>
        <v>Реконструкция ВЛ - 6 кВ (2 этап)</v>
      </c>
      <c r="C38" s="17"/>
      <c r="D38" s="17"/>
      <c r="E38" s="17"/>
      <c r="F38" s="17"/>
      <c r="G38" s="14"/>
      <c r="H38" s="14"/>
      <c r="I38" s="14"/>
      <c r="J38" s="14"/>
      <c r="K38" s="14">
        <v>2016</v>
      </c>
      <c r="L38" s="14"/>
      <c r="M38" s="14"/>
      <c r="N38" s="14"/>
      <c r="O38" s="14">
        <v>2.5</v>
      </c>
      <c r="P38" s="14"/>
      <c r="Q38" s="161">
        <f>R38+S38+T38+U38</f>
        <v>936.85</v>
      </c>
      <c r="R38" s="161">
        <v>0</v>
      </c>
      <c r="S38" s="161">
        <f>936.85</f>
        <v>936.85</v>
      </c>
      <c r="T38" s="161">
        <v>0</v>
      </c>
      <c r="U38" s="287">
        <v>0</v>
      </c>
      <c r="V38" s="286"/>
      <c r="W38" s="286"/>
      <c r="X38" s="286"/>
      <c r="Y38" s="286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</row>
    <row r="39" spans="1:35" ht="33.75" customHeight="1">
      <c r="A39" s="14" t="str">
        <f>'приложение 1.1 2016-2017 тр'!A39</f>
        <v>2.1.3.</v>
      </c>
      <c r="B39" s="19" t="str">
        <f>'приложение 1.1 2016-2017 тр'!B39</f>
        <v>Закупка и установка счетчиков для системы АСКУЭ</v>
      </c>
      <c r="C39" s="6"/>
      <c r="D39" s="6"/>
      <c r="E39" s="6"/>
      <c r="F39" s="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61">
        <f>R39+S39+T39+U39</f>
        <v>1482.812</v>
      </c>
      <c r="R39" s="161">
        <v>0</v>
      </c>
      <c r="S39" s="161">
        <v>0</v>
      </c>
      <c r="T39" s="161">
        <f>1482.812</f>
        <v>1482.812</v>
      </c>
      <c r="U39" s="287">
        <v>0</v>
      </c>
      <c r="V39" s="14"/>
      <c r="W39" s="14"/>
      <c r="X39" s="14"/>
      <c r="Y39" s="14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374" customFormat="1" ht="15.75">
      <c r="A40" s="168" t="str">
        <f>'приложение 1.1 2016-2017 тр'!A40</f>
        <v>2.1.4.</v>
      </c>
      <c r="B40" s="19" t="str">
        <f>'приложение 1.1 2016-2017 тр'!B40</f>
        <v>Строительство ТП</v>
      </c>
      <c r="C40" s="14"/>
      <c r="D40" s="14"/>
      <c r="E40" s="14"/>
      <c r="F40" s="14"/>
      <c r="G40" s="14">
        <f>'приложение 1.1 2016-2017 тр'!F40+1</f>
        <v>2016</v>
      </c>
      <c r="H40" s="14">
        <v>12</v>
      </c>
      <c r="I40" s="14" t="s">
        <v>366</v>
      </c>
      <c r="J40" s="14" t="str">
        <f>'приложение 1.1 2016-2017 тр'!D40</f>
        <v>1,4 МВА</v>
      </c>
      <c r="K40" s="14"/>
      <c r="L40" s="14"/>
      <c r="M40" s="14"/>
      <c r="N40" s="14"/>
      <c r="O40" s="14"/>
      <c r="P40" s="14"/>
      <c r="Q40" s="161">
        <f>R40+S40+T40+U40</f>
        <v>0</v>
      </c>
      <c r="R40" s="161"/>
      <c r="S40" s="161"/>
      <c r="T40" s="161"/>
      <c r="U40" s="287">
        <v>0</v>
      </c>
      <c r="V40" s="300" t="e">
        <f>SUM(#REF!)</f>
        <v>#REF!</v>
      </c>
      <c r="W40" s="300" t="e">
        <f>SUM(#REF!)</f>
        <v>#REF!</v>
      </c>
      <c r="X40" s="300" t="e">
        <f>SUM(#REF!)</f>
        <v>#REF!</v>
      </c>
      <c r="Y40" s="300" t="e">
        <f>SUM(#REF!)</f>
        <v>#REF!</v>
      </c>
      <c r="Z40" s="300" t="e">
        <f>SUM(#REF!)</f>
        <v>#REF!</v>
      </c>
      <c r="AA40" s="300" t="e">
        <f>SUM(#REF!)</f>
        <v>#REF!</v>
      </c>
      <c r="AB40" s="300" t="e">
        <f>SUM(#REF!)</f>
        <v>#REF!</v>
      </c>
      <c r="AC40" s="300" t="e">
        <f>SUM(#REF!)</f>
        <v>#REF!</v>
      </c>
      <c r="AD40" s="300" t="e">
        <f>SUM(#REF!)</f>
        <v>#REF!</v>
      </c>
      <c r="AE40" s="300" t="e">
        <f>SUM(#REF!)</f>
        <v>#REF!</v>
      </c>
      <c r="AF40" s="300" t="e">
        <f>SUM(#REF!)</f>
        <v>#REF!</v>
      </c>
      <c r="AG40" s="300" t="e">
        <f>SUM(#REF!)</f>
        <v>#REF!</v>
      </c>
      <c r="AH40" s="300" t="e">
        <f>SUM(#REF!)</f>
        <v>#REF!</v>
      </c>
      <c r="AI40" s="300" t="e">
        <f>SUM(#REF!)</f>
        <v>#REF!</v>
      </c>
    </row>
    <row r="41" spans="1:35" ht="15.75">
      <c r="A41" s="6" t="str">
        <f>'приложение 1.1 2016-2017 тр'!A41</f>
        <v>3</v>
      </c>
      <c r="B41" s="22" t="str">
        <f>'приложение 1.1 2016-2017 тр'!B41</f>
        <v>Прочее</v>
      </c>
      <c r="C41" s="41"/>
      <c r="D41" s="41"/>
      <c r="E41" s="41"/>
      <c r="F41" s="41"/>
      <c r="G41" s="6"/>
      <c r="H41" s="6"/>
      <c r="I41" s="6"/>
      <c r="J41" s="6"/>
      <c r="K41" s="6"/>
      <c r="L41" s="6"/>
      <c r="M41" s="6"/>
      <c r="N41" s="6"/>
      <c r="O41" s="6"/>
      <c r="P41" s="6"/>
      <c r="Q41" s="182">
        <f>SUM(Q42:Q43)</f>
        <v>0</v>
      </c>
      <c r="R41" s="182">
        <f>SUM(R42:R43)</f>
        <v>0</v>
      </c>
      <c r="S41" s="182">
        <f>SUM(S42:S43)</f>
        <v>0</v>
      </c>
      <c r="T41" s="182">
        <f>SUM(T42:T43)</f>
        <v>0</v>
      </c>
      <c r="U41" s="182">
        <f>SUM(U42:U43)</f>
        <v>0</v>
      </c>
      <c r="V41" s="17"/>
      <c r="W41" s="17"/>
      <c r="X41" s="17"/>
      <c r="Y41" s="17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374" customFormat="1" ht="15.75">
      <c r="A42" s="14" t="str">
        <f>'приложение 1.1 2016-2017 тр'!A42</f>
        <v>3.1.</v>
      </c>
      <c r="B42" s="19" t="str">
        <f>'приложение 1.1 2016-2017 тр'!B42</f>
        <v>Закупка  снегохода</v>
      </c>
      <c r="C42" s="17"/>
      <c r="D42" s="17"/>
      <c r="E42" s="17"/>
      <c r="F42" s="17"/>
      <c r="G42" s="14"/>
      <c r="H42" s="14"/>
      <c r="I42" s="14"/>
      <c r="J42" s="14"/>
      <c r="K42" s="14"/>
      <c r="L42" s="14"/>
      <c r="M42" s="14"/>
      <c r="N42" s="14"/>
      <c r="O42" s="14"/>
      <c r="P42" s="14">
        <f>'приложение 1.1 2016-2017 тр'!F42</f>
        <v>2014</v>
      </c>
      <c r="Q42" s="161">
        <f>R42+S42+T42+U42</f>
        <v>0</v>
      </c>
      <c r="R42" s="161"/>
      <c r="S42" s="161"/>
      <c r="T42" s="161"/>
      <c r="U42" s="14"/>
      <c r="V42" s="286"/>
      <c r="W42" s="286"/>
      <c r="X42" s="286"/>
      <c r="Y42" s="286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</row>
    <row r="43" spans="1:35" ht="31.5">
      <c r="A43" s="14" t="str">
        <f>'приложение 1.1 2016-2017 тр'!A43</f>
        <v>3.2.</v>
      </c>
      <c r="B43" s="17" t="str">
        <f>'приложение 1.1 2016-2017 тр'!B43</f>
        <v>Перевод на электроотопление объектов п.Октябрьский</v>
      </c>
      <c r="C43" s="6"/>
      <c r="D43" s="6"/>
      <c r="E43" s="6"/>
      <c r="F43" s="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61">
        <f>R43+S43+T43+U43</f>
        <v>0</v>
      </c>
      <c r="R43" s="287"/>
      <c r="S43" s="287"/>
      <c r="T43" s="287"/>
      <c r="U43" s="287"/>
      <c r="V43" s="274"/>
      <c r="W43" s="274"/>
      <c r="X43" s="274"/>
      <c r="Y43" s="274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63">
      <c r="A44" s="6">
        <f>'приложение 1.1 2016-2017 тр'!A44</f>
        <v>4</v>
      </c>
      <c r="B44" s="6" t="str">
        <f>'приложение 1.1 2016-2017 тр'!B44</f>
        <v>Оборудование не входящее в сметные расчеты строительных работ и работ по реконструкции (косвенные расходы)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182">
        <f>Q45+Q48+Q52+Q59</f>
        <v>423.865</v>
      </c>
      <c r="R44" s="182">
        <f>R45+R48+R52+R59</f>
        <v>0</v>
      </c>
      <c r="S44" s="182">
        <f>S45+S48+S52+S59</f>
        <v>0</v>
      </c>
      <c r="T44" s="182">
        <f>T45+T48+T52+T59</f>
        <v>0</v>
      </c>
      <c r="U44" s="182">
        <f>U45+U48+U52+U59</f>
        <v>423.865</v>
      </c>
      <c r="V44" s="274"/>
      <c r="W44" s="274"/>
      <c r="X44" s="274"/>
      <c r="Y44" s="274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.75">
      <c r="A45" s="6" t="str">
        <f>'приложение 1.1 2016-2017 тр'!A45</f>
        <v>4.1.</v>
      </c>
      <c r="B45" s="6" t="str">
        <f>'приложение 1.1 2016-2017 тр'!B45</f>
        <v>Приборы, в т.ч.: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82">
        <f>Q46+Q47</f>
        <v>0</v>
      </c>
      <c r="R45" s="182">
        <f>R46+R47</f>
        <v>0</v>
      </c>
      <c r="S45" s="182">
        <f>S46+S47</f>
        <v>0</v>
      </c>
      <c r="T45" s="182">
        <f>T46+T47</f>
        <v>0</v>
      </c>
      <c r="U45" s="182">
        <f>U46+U47</f>
        <v>0</v>
      </c>
      <c r="V45" s="274"/>
      <c r="W45" s="274"/>
      <c r="X45" s="274"/>
      <c r="Y45" s="274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.75">
      <c r="A46" s="14" t="str">
        <f>'приложение 1.1 2016-2017 тр'!A46</f>
        <v>4.1.1.</v>
      </c>
      <c r="B46" s="17" t="str">
        <f>'приложение 1.1 2016-2017 тр'!B46</f>
        <v>Вольтамперфазометр ПАРМА ВАФ-А</v>
      </c>
      <c r="C46" s="42"/>
      <c r="D46" s="42"/>
      <c r="E46" s="42"/>
      <c r="F46" s="42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1">
        <f>R46+S46+T46+U46</f>
        <v>0</v>
      </c>
      <c r="R46" s="161">
        <v>0</v>
      </c>
      <c r="S46" s="161">
        <v>0</v>
      </c>
      <c r="T46" s="161">
        <v>0</v>
      </c>
      <c r="U46" s="161">
        <v>0</v>
      </c>
      <c r="V46" s="274"/>
      <c r="W46" s="274"/>
      <c r="X46" s="274"/>
      <c r="Y46" s="274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31.5">
      <c r="A47" s="14" t="str">
        <f>'приложение 1.1 2016-2017 тр'!A47</f>
        <v>4.1.2.</v>
      </c>
      <c r="B47" s="17" t="str">
        <f>'приложение 1.1 2016-2017 тр'!B47</f>
        <v>Прибор для измерения показателей качества электрической энергии</v>
      </c>
      <c r="C47" s="42"/>
      <c r="D47" s="42"/>
      <c r="E47" s="42"/>
      <c r="F47" s="42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1">
        <f>R47+S47+T47+U47</f>
        <v>0</v>
      </c>
      <c r="R47" s="161">
        <v>0</v>
      </c>
      <c r="S47" s="161">
        <v>0</v>
      </c>
      <c r="T47" s="161">
        <v>0</v>
      </c>
      <c r="U47" s="161">
        <v>0</v>
      </c>
      <c r="V47" s="274"/>
      <c r="W47" s="274"/>
      <c r="X47" s="274"/>
      <c r="Y47" s="274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31.5">
      <c r="A48" s="6" t="str">
        <f>'приложение 1.1 2016-2017 тр'!A48</f>
        <v>4.2.</v>
      </c>
      <c r="B48" s="6" t="str">
        <f>'приложение 1.1 2016-2017 тр'!B48</f>
        <v>Производственный и хозяйственный инвентарь, в т.ч.: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82">
        <f>Q49+Q50+Q51</f>
        <v>110.358</v>
      </c>
      <c r="R48" s="182">
        <f>R49+R50+R51</f>
        <v>0</v>
      </c>
      <c r="S48" s="182">
        <f>S49+S50+S51</f>
        <v>0</v>
      </c>
      <c r="T48" s="182">
        <f>T49+T50+T51</f>
        <v>0</v>
      </c>
      <c r="U48" s="182">
        <f>U49+U50+U51</f>
        <v>110.358</v>
      </c>
      <c r="V48" s="274"/>
      <c r="W48" s="274"/>
      <c r="X48" s="274"/>
      <c r="Y48" s="274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31.5">
      <c r="A49" s="14" t="str">
        <f>'приложение 1.1 2016-2017 тр'!A49</f>
        <v>4.2.1.</v>
      </c>
      <c r="B49" s="17" t="str">
        <f>'приложение 1.1 2016-2017 тр'!B49</f>
        <v>Комплект мебели для офиса "Энергосбыта"</v>
      </c>
      <c r="C49" s="42"/>
      <c r="D49" s="42"/>
      <c r="E49" s="42"/>
      <c r="F49" s="42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1">
        <f>R49+S49+T49+U49</f>
        <v>50.508</v>
      </c>
      <c r="R49" s="161">
        <v>0</v>
      </c>
      <c r="S49" s="161">
        <v>0</v>
      </c>
      <c r="T49" s="161">
        <v>0</v>
      </c>
      <c r="U49" s="161">
        <f>'приложение 1.1 2016-2017 тр'!G49</f>
        <v>50.508</v>
      </c>
      <c r="V49" s="274"/>
      <c r="W49" s="274"/>
      <c r="X49" s="274"/>
      <c r="Y49" s="274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.75">
      <c r="A50" s="14" t="str">
        <f>'приложение 1.1 2016-2017 тр'!A50</f>
        <v>4.2.2.</v>
      </c>
      <c r="B50" s="17" t="str">
        <f>'приложение 1.1 2016-2017 тр'!B50</f>
        <v>Сейф FRS-75T KL</v>
      </c>
      <c r="C50" s="42"/>
      <c r="D50" s="42"/>
      <c r="E50" s="42"/>
      <c r="F50" s="42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1">
        <f>R50+S50+T50+U50</f>
        <v>31.05</v>
      </c>
      <c r="R50" s="161">
        <v>0</v>
      </c>
      <c r="S50" s="161">
        <v>0</v>
      </c>
      <c r="T50" s="161">
        <v>0</v>
      </c>
      <c r="U50" s="161">
        <f>'приложение 1.1 2016-2017 тр'!G50</f>
        <v>31.05</v>
      </c>
      <c r="V50" s="274"/>
      <c r="W50" s="274"/>
      <c r="X50" s="274"/>
      <c r="Y50" s="274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>
      <c r="A51" s="14" t="str">
        <f>'приложение 1.1 2016-2017 тр'!A51</f>
        <v>4.2.3.</v>
      </c>
      <c r="B51" s="17" t="str">
        <f>'приложение 1.1 2016-2017 тр'!B51</f>
        <v>Кухня для офиса "Энергосбыта"</v>
      </c>
      <c r="C51" s="42"/>
      <c r="D51" s="42"/>
      <c r="E51" s="42"/>
      <c r="F51" s="42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1">
        <f>R51+S51+T51+U51</f>
        <v>28.8</v>
      </c>
      <c r="R51" s="161">
        <v>0</v>
      </c>
      <c r="S51" s="161">
        <v>0</v>
      </c>
      <c r="T51" s="161">
        <v>0</v>
      </c>
      <c r="U51" s="161">
        <f>'приложение 1.1 2016-2017 тр'!G51</f>
        <v>28.8</v>
      </c>
      <c r="V51" s="274"/>
      <c r="W51" s="274"/>
      <c r="X51" s="274"/>
      <c r="Y51" s="274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.75">
      <c r="A52" s="6" t="str">
        <f>'приложение 1.1 2016-2017 тр'!A52</f>
        <v>4.3.</v>
      </c>
      <c r="B52" s="6" t="str">
        <f>'приложение 1.1 2016-2017 тр'!B52</f>
        <v>Оргтехника в т.ч.: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82">
        <f>SUM(Q53:Q58)</f>
        <v>171.395</v>
      </c>
      <c r="R52" s="182">
        <f>SUM(R53:R58)</f>
        <v>0</v>
      </c>
      <c r="S52" s="182">
        <f>SUM(S53:S58)</f>
        <v>0</v>
      </c>
      <c r="T52" s="182">
        <f>SUM(T53:T58)</f>
        <v>0</v>
      </c>
      <c r="U52" s="182">
        <f>SUM(U53:U58)</f>
        <v>171.395</v>
      </c>
      <c r="V52" s="274"/>
      <c r="W52" s="274"/>
      <c r="X52" s="274"/>
      <c r="Y52" s="274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.75">
      <c r="A53" s="14" t="str">
        <f>'приложение 1.1 2016-2017 тр'!A53</f>
        <v>4.3.1.</v>
      </c>
      <c r="B53" s="17" t="str">
        <f>'приложение 1.1 2016-2017 тр'!B53</f>
        <v>Базовый блок Самсунг</v>
      </c>
      <c r="C53" s="42"/>
      <c r="D53" s="42"/>
      <c r="E53" s="42"/>
      <c r="F53" s="42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1">
        <f aca="true" t="shared" si="3" ref="Q53:Q58">R53+S53+T53+U53</f>
        <v>0</v>
      </c>
      <c r="R53" s="161">
        <v>0</v>
      </c>
      <c r="S53" s="161">
        <v>0</v>
      </c>
      <c r="T53" s="161">
        <v>0</v>
      </c>
      <c r="U53" s="161">
        <v>0</v>
      </c>
      <c r="V53" s="274"/>
      <c r="W53" s="274"/>
      <c r="X53" s="274"/>
      <c r="Y53" s="274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.75">
      <c r="A54" s="14" t="str">
        <f>'приложение 1.1 2016-2017 тр'!A54</f>
        <v>4.3.2.</v>
      </c>
      <c r="B54" s="17" t="str">
        <f>'приложение 1.1 2016-2017 тр'!B54</f>
        <v>Компьютер в комплекте ASUS B85</v>
      </c>
      <c r="C54" s="42"/>
      <c r="D54" s="42"/>
      <c r="E54" s="42"/>
      <c r="F54" s="42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1">
        <f t="shared" si="3"/>
        <v>0</v>
      </c>
      <c r="R54" s="161">
        <v>0</v>
      </c>
      <c r="S54" s="161">
        <v>0</v>
      </c>
      <c r="T54" s="161">
        <v>0</v>
      </c>
      <c r="U54" s="161">
        <v>0</v>
      </c>
      <c r="V54" s="274"/>
      <c r="W54" s="274"/>
      <c r="X54" s="274"/>
      <c r="Y54" s="274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31.5">
      <c r="A55" s="14" t="str">
        <f>'приложение 1.1 2016-2017 тр'!A55</f>
        <v>4.3.3.</v>
      </c>
      <c r="B55" s="17" t="str">
        <f>'приложение 1.1 2016-2017 тр'!B55</f>
        <v>Компьютер в комплекте ASUS B85/i3/4Gb/500Gb</v>
      </c>
      <c r="C55" s="42"/>
      <c r="D55" s="42"/>
      <c r="E55" s="42"/>
      <c r="F55" s="42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1">
        <f t="shared" si="3"/>
        <v>0</v>
      </c>
      <c r="R55" s="161">
        <v>0</v>
      </c>
      <c r="S55" s="161">
        <v>0</v>
      </c>
      <c r="T55" s="161">
        <v>0</v>
      </c>
      <c r="U55" s="161">
        <v>0</v>
      </c>
      <c r="V55" s="274"/>
      <c r="W55" s="274"/>
      <c r="X55" s="274"/>
      <c r="Y55" s="274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.75">
      <c r="A56" s="14" t="str">
        <f>'приложение 1.1 2016-2017 тр'!A56</f>
        <v>4.3.4.</v>
      </c>
      <c r="B56" s="17" t="str">
        <f>'приложение 1.1 2016-2017 тр'!B56</f>
        <v>Системный блок ASUS</v>
      </c>
      <c r="C56" s="42"/>
      <c r="D56" s="42"/>
      <c r="E56" s="42"/>
      <c r="F56" s="42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1">
        <f t="shared" si="3"/>
        <v>61.183</v>
      </c>
      <c r="R56" s="161">
        <v>0</v>
      </c>
      <c r="S56" s="161">
        <v>0</v>
      </c>
      <c r="T56" s="161">
        <v>0</v>
      </c>
      <c r="U56" s="161">
        <f>'приложение 1.1 2016-2017 тр'!G56</f>
        <v>61.183</v>
      </c>
      <c r="V56" s="274"/>
      <c r="W56" s="274"/>
      <c r="X56" s="274"/>
      <c r="Y56" s="274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.75">
      <c r="A57" s="14" t="str">
        <f>'приложение 1.1 2016-2017 тр'!A57</f>
        <v>4.3.5.</v>
      </c>
      <c r="B57" s="17" t="str">
        <f>'приложение 1.1 2016-2017 тр'!B57</f>
        <v>Системный блок ASUS</v>
      </c>
      <c r="C57" s="42"/>
      <c r="D57" s="42"/>
      <c r="E57" s="42"/>
      <c r="F57" s="42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1">
        <f t="shared" si="3"/>
        <v>61.183</v>
      </c>
      <c r="R57" s="161">
        <v>0</v>
      </c>
      <c r="S57" s="161">
        <v>0</v>
      </c>
      <c r="T57" s="161">
        <v>0</v>
      </c>
      <c r="U57" s="161">
        <f>'приложение 1.1 2016-2017 тр'!G57</f>
        <v>61.183</v>
      </c>
      <c r="V57" s="274"/>
      <c r="W57" s="274"/>
      <c r="X57" s="274"/>
      <c r="Y57" s="274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.75">
      <c r="A58" s="14" t="str">
        <f>'приложение 1.1 2016-2017 тр'!A58</f>
        <v>4.3.6.</v>
      </c>
      <c r="B58" s="17" t="str">
        <f>'приложение 1.1 2016-2017 тр'!B58</f>
        <v>Ноутбук HP Probook</v>
      </c>
      <c r="C58" s="42"/>
      <c r="D58" s="42"/>
      <c r="E58" s="42"/>
      <c r="F58" s="42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1">
        <f t="shared" si="3"/>
        <v>49.029</v>
      </c>
      <c r="R58" s="161">
        <v>0</v>
      </c>
      <c r="S58" s="161">
        <v>0</v>
      </c>
      <c r="T58" s="161">
        <v>0</v>
      </c>
      <c r="U58" s="161">
        <f>'приложение 1.1 2016-2017 тр'!G58</f>
        <v>49.029</v>
      </c>
      <c r="V58" s="274"/>
      <c r="W58" s="274"/>
      <c r="X58" s="274"/>
      <c r="Y58" s="274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.75">
      <c r="A59" s="6" t="str">
        <f>'приложение 1.1 2016-2017 тр'!A59</f>
        <v>4.4.</v>
      </c>
      <c r="B59" s="6" t="str">
        <f>'приложение 1.1 2016-2017 тр'!B59</f>
        <v>Сигнализация, в т.ч.: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82">
        <f>Q60</f>
        <v>142.112</v>
      </c>
      <c r="R59" s="182">
        <f>R60</f>
        <v>0</v>
      </c>
      <c r="S59" s="182">
        <f>S60</f>
        <v>0</v>
      </c>
      <c r="T59" s="182">
        <f>T60</f>
        <v>0</v>
      </c>
      <c r="U59" s="182">
        <f>U60</f>
        <v>142.112</v>
      </c>
      <c r="V59" s="274"/>
      <c r="W59" s="274"/>
      <c r="X59" s="274"/>
      <c r="Y59" s="274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.75">
      <c r="A60" s="14" t="str">
        <f>'приложение 1.1 2016-2017 тр'!A60</f>
        <v>4.4.1.</v>
      </c>
      <c r="B60" s="17" t="str">
        <f>'приложение 1.1 2016-2017 тр'!B60</f>
        <v>Охранно-пожарная сигнализация</v>
      </c>
      <c r="C60" s="376"/>
      <c r="D60" s="376"/>
      <c r="E60" s="376"/>
      <c r="F60" s="376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1">
        <f>R60+S60+T60+U60</f>
        <v>142.112</v>
      </c>
      <c r="R60" s="161">
        <v>0</v>
      </c>
      <c r="S60" s="161">
        <v>0</v>
      </c>
      <c r="T60" s="161">
        <v>0</v>
      </c>
      <c r="U60" s="161">
        <f>'приложение 1.1 2016-2017 тр'!G60</f>
        <v>142.112</v>
      </c>
      <c r="V60" s="274"/>
      <c r="W60" s="274"/>
      <c r="X60" s="274"/>
      <c r="Y60" s="274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.75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7"/>
      <c r="R61" s="377"/>
      <c r="S61" s="377"/>
      <c r="T61" s="377"/>
      <c r="U61" s="377"/>
      <c r="V61" s="274"/>
      <c r="W61" s="274"/>
      <c r="X61" s="274"/>
      <c r="Y61" s="274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.75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7"/>
      <c r="R62" s="377"/>
      <c r="S62" s="377"/>
      <c r="T62" s="377"/>
      <c r="U62" s="377"/>
      <c r="V62" s="274"/>
      <c r="W62" s="274"/>
      <c r="X62" s="274"/>
      <c r="Y62" s="274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.75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7"/>
      <c r="R63" s="377"/>
      <c r="S63" s="377"/>
      <c r="T63" s="377"/>
      <c r="U63" s="377"/>
      <c r="V63" s="274"/>
      <c r="W63" s="274"/>
      <c r="X63" s="274"/>
      <c r="Y63" s="274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25" ht="15.75">
      <c r="A64" s="24"/>
      <c r="B64" s="25"/>
      <c r="C64" s="25"/>
      <c r="D64" s="25"/>
      <c r="E64" s="25"/>
      <c r="F64" s="25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89"/>
      <c r="T64" s="189"/>
      <c r="U64" s="189"/>
      <c r="V64" s="25"/>
      <c r="W64" s="25"/>
      <c r="X64" s="25"/>
      <c r="Y64" s="25"/>
    </row>
    <row r="65" spans="1:21" ht="18.75">
      <c r="A65" s="1"/>
      <c r="B65" s="635" t="s">
        <v>230</v>
      </c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221"/>
      <c r="O65" s="221"/>
      <c r="P65" s="221"/>
      <c r="S65" s="604" t="s">
        <v>231</v>
      </c>
      <c r="T65" s="604"/>
      <c r="U65" s="83"/>
    </row>
    <row r="66" spans="1:25" ht="15.75" customHeight="1">
      <c r="A66" s="28"/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29"/>
      <c r="W66" s="29"/>
      <c r="X66" s="29"/>
      <c r="Y66" s="29"/>
    </row>
    <row r="67" ht="15.75">
      <c r="A67" s="28"/>
    </row>
    <row r="68" ht="15.75">
      <c r="A68" s="28"/>
    </row>
    <row r="69" spans="19:21" ht="33.75" customHeight="1">
      <c r="S69" s="49"/>
      <c r="T69" s="49"/>
      <c r="U69" s="49"/>
    </row>
    <row r="70" ht="15.75">
      <c r="A70" s="2"/>
    </row>
  </sheetData>
  <sheetProtection/>
  <mergeCells count="27">
    <mergeCell ref="A3:B3"/>
    <mergeCell ref="T5:U5"/>
    <mergeCell ref="T15:U15"/>
    <mergeCell ref="P17:P18"/>
    <mergeCell ref="R7:U7"/>
    <mergeCell ref="P8:U8"/>
    <mergeCell ref="Q9:U9"/>
    <mergeCell ref="R6:U6"/>
    <mergeCell ref="A13:U13"/>
    <mergeCell ref="AI17:AI18"/>
    <mergeCell ref="V16:AI16"/>
    <mergeCell ref="C17:F17"/>
    <mergeCell ref="V17:Y17"/>
    <mergeCell ref="G17:J17"/>
    <mergeCell ref="K17:O17"/>
    <mergeCell ref="Z17:AC17"/>
    <mergeCell ref="AD17:AH17"/>
    <mergeCell ref="S1:U1"/>
    <mergeCell ref="S65:T65"/>
    <mergeCell ref="B66:U66"/>
    <mergeCell ref="A12:U12"/>
    <mergeCell ref="A16:A17"/>
    <mergeCell ref="Q16:U17"/>
    <mergeCell ref="C16:P16"/>
    <mergeCell ref="B16:B18"/>
    <mergeCell ref="A20:U20"/>
    <mergeCell ref="B65:M65"/>
  </mergeCells>
  <printOptions/>
  <pageMargins left="0.4724409448818898" right="0.1968503937007874" top="0.31496062992125984" bottom="0.2362204724409449" header="0.31496062992125984" footer="0.31496062992125984"/>
  <pageSetup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A40"/>
  <sheetViews>
    <sheetView zoomScale="75" zoomScaleNormal="75" zoomScaleSheetLayoutView="75" zoomScalePageLayoutView="0" workbookViewId="0" topLeftCell="A10">
      <selection activeCell="V25" sqref="V25"/>
    </sheetView>
  </sheetViews>
  <sheetFormatPr defaultColWidth="9.00390625" defaultRowHeight="15.75"/>
  <cols>
    <col min="1" max="1" width="7.25390625" style="1" customWidth="1"/>
    <col min="2" max="2" width="35.50390625" style="1" customWidth="1"/>
    <col min="3" max="3" width="4.375" style="1" hidden="1" customWidth="1"/>
    <col min="4" max="4" width="7.375" style="1" hidden="1" customWidth="1"/>
    <col min="5" max="5" width="4.375" style="1" hidden="1" customWidth="1"/>
    <col min="6" max="6" width="7.00390625" style="1" hidden="1" customWidth="1"/>
    <col min="7" max="7" width="4.375" style="1" hidden="1" customWidth="1"/>
    <col min="8" max="8" width="7.75390625" style="1" hidden="1" customWidth="1"/>
    <col min="9" max="9" width="4.375" style="1" hidden="1" customWidth="1"/>
    <col min="10" max="10" width="6.875" style="1" hidden="1" customWidth="1"/>
    <col min="11" max="11" width="4.50390625" style="1" customWidth="1"/>
    <col min="12" max="12" width="6.00390625" style="1" customWidth="1"/>
    <col min="13" max="13" width="4.50390625" style="1" customWidth="1"/>
    <col min="14" max="14" width="5.625" style="1" customWidth="1"/>
    <col min="15" max="15" width="4.50390625" style="1" customWidth="1"/>
    <col min="16" max="16" width="4.875" style="1" customWidth="1"/>
    <col min="17" max="17" width="4.375" style="1" hidden="1" customWidth="1"/>
    <col min="18" max="18" width="6.75390625" style="1" hidden="1" customWidth="1"/>
    <col min="19" max="19" width="11.00390625" style="1" hidden="1" customWidth="1"/>
    <col min="20" max="20" width="11.50390625" style="1" hidden="1" customWidth="1"/>
    <col min="21" max="21" width="10.375" style="1" customWidth="1"/>
    <col min="22" max="22" width="9.25390625" style="1" customWidth="1"/>
    <col min="23" max="23" width="8.875" style="1" customWidth="1"/>
    <col min="24" max="24" width="2.125" style="1" customWidth="1"/>
    <col min="25" max="25" width="3.25390625" style="1" customWidth="1"/>
    <col min="26" max="16384" width="9.00390625" style="1" customWidth="1"/>
  </cols>
  <sheetData>
    <row r="1" spans="1:23" ht="15.75">
      <c r="A1" s="32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600" t="s">
        <v>538</v>
      </c>
      <c r="U1" s="620"/>
      <c r="V1" s="620"/>
      <c r="W1" s="620"/>
    </row>
    <row r="2" spans="1:23" ht="15.75">
      <c r="A2" s="3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7</v>
      </c>
    </row>
    <row r="3" spans="1:23" ht="15.75">
      <c r="A3" s="603" t="s">
        <v>276</v>
      </c>
      <c r="B3" s="569"/>
      <c r="C3" s="569"/>
      <c r="D3" s="569"/>
      <c r="E3" s="56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>
      <c r="A5" s="32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600" t="s">
        <v>9</v>
      </c>
      <c r="V5" s="600"/>
      <c r="W5" s="600"/>
    </row>
    <row r="6" spans="1:23" ht="15.75">
      <c r="A6" s="3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600" t="s">
        <v>416</v>
      </c>
      <c r="Q6" s="600"/>
      <c r="R6" s="600"/>
      <c r="S6" s="600"/>
      <c r="T6" s="600"/>
      <c r="U6" s="600"/>
      <c r="V6" s="600"/>
      <c r="W6" s="600"/>
    </row>
    <row r="7" spans="1:23" ht="15.75">
      <c r="A7" s="3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83"/>
      <c r="U7" s="683"/>
      <c r="V7" s="683"/>
      <c r="W7" s="683"/>
    </row>
    <row r="8" spans="1:23" ht="15.75" customHeight="1">
      <c r="A8" s="32"/>
      <c r="E8" s="33"/>
      <c r="F8" s="33"/>
      <c r="G8" s="33"/>
      <c r="H8" s="33"/>
      <c r="I8" s="33"/>
      <c r="J8" s="33"/>
      <c r="K8" s="33"/>
      <c r="L8" s="33"/>
      <c r="M8" s="33"/>
      <c r="O8" s="697" t="s">
        <v>548</v>
      </c>
      <c r="P8" s="697"/>
      <c r="Q8" s="697"/>
      <c r="R8" s="697"/>
      <c r="S8" s="697"/>
      <c r="T8" s="697"/>
      <c r="U8" s="697"/>
      <c r="V8" s="697"/>
      <c r="W8" s="697"/>
    </row>
    <row r="9" spans="1:23" ht="15.75">
      <c r="A9" s="32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600" t="s">
        <v>10</v>
      </c>
      <c r="U9" s="600"/>
      <c r="V9" s="600"/>
      <c r="W9" s="600"/>
    </row>
    <row r="10" spans="1:23" ht="15.75">
      <c r="A10" s="3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3" t="s">
        <v>11</v>
      </c>
    </row>
    <row r="11" spans="1:17" ht="15.75">
      <c r="A11" s="32"/>
      <c r="Q11" s="3"/>
    </row>
    <row r="12" spans="1:23" ht="18.75">
      <c r="A12" s="628" t="str">
        <f>'приложение 1.3 2016-2017 ген'!A17</f>
        <v>Прогноз ввода/вывода объектов</v>
      </c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</row>
    <row r="13" spans="1:23" ht="18.75">
      <c r="A13" s="628" t="str">
        <f>'приложение 1.3 2016-2017 ген'!A18</f>
        <v>на 2016 - 2017 годы</v>
      </c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</row>
    <row r="14" spans="1:2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0.5" customHeight="1">
      <c r="A15" s="2"/>
    </row>
    <row r="16" spans="1:25" ht="15.75" customHeight="1">
      <c r="A16" s="575" t="s">
        <v>63</v>
      </c>
      <c r="B16" s="575" t="s">
        <v>64</v>
      </c>
      <c r="C16" s="684" t="s">
        <v>17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8" t="s">
        <v>302</v>
      </c>
      <c r="R16" s="689"/>
      <c r="S16" s="689"/>
      <c r="T16" s="689"/>
      <c r="U16" s="689"/>
      <c r="V16" s="689"/>
      <c r="W16" s="690"/>
      <c r="X16" s="25"/>
      <c r="Y16" s="25"/>
    </row>
    <row r="17" spans="1:25" ht="16.5" customHeight="1">
      <c r="A17" s="575"/>
      <c r="B17" s="575"/>
      <c r="C17" s="616" t="s">
        <v>65</v>
      </c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 t="s">
        <v>65</v>
      </c>
      <c r="R17" s="616"/>
      <c r="S17" s="616"/>
      <c r="T17" s="616"/>
      <c r="U17" s="616"/>
      <c r="V17" s="616"/>
      <c r="W17" s="616"/>
      <c r="X17" s="25"/>
      <c r="Y17" s="25"/>
    </row>
    <row r="18" spans="1:25" ht="16.5" customHeight="1">
      <c r="A18" s="575"/>
      <c r="B18" s="575"/>
      <c r="C18" s="616">
        <v>2011</v>
      </c>
      <c r="D18" s="616"/>
      <c r="E18" s="616">
        <v>2013</v>
      </c>
      <c r="F18" s="616"/>
      <c r="G18" s="616">
        <v>2014</v>
      </c>
      <c r="H18" s="616"/>
      <c r="I18" s="616">
        <v>2015</v>
      </c>
      <c r="J18" s="616"/>
      <c r="K18" s="616">
        <v>2016</v>
      </c>
      <c r="L18" s="616"/>
      <c r="M18" s="616">
        <v>2017</v>
      </c>
      <c r="N18" s="616"/>
      <c r="O18" s="616">
        <v>2018</v>
      </c>
      <c r="P18" s="616"/>
      <c r="Q18" s="616">
        <v>2013</v>
      </c>
      <c r="R18" s="616"/>
      <c r="S18" s="7">
        <v>2014</v>
      </c>
      <c r="T18" s="7">
        <v>2015</v>
      </c>
      <c r="U18" s="7">
        <v>2016</v>
      </c>
      <c r="V18" s="7">
        <v>2017</v>
      </c>
      <c r="W18" s="7">
        <v>2018</v>
      </c>
      <c r="X18" s="25"/>
      <c r="Y18" s="25"/>
    </row>
    <row r="19" spans="1:25" ht="15.75">
      <c r="A19" s="44">
        <v>1</v>
      </c>
      <c r="B19" s="44">
        <v>2</v>
      </c>
      <c r="C19" s="612">
        <v>3</v>
      </c>
      <c r="D19" s="612"/>
      <c r="E19" s="612">
        <v>4</v>
      </c>
      <c r="F19" s="612"/>
      <c r="G19" s="612">
        <v>5</v>
      </c>
      <c r="H19" s="612"/>
      <c r="I19" s="612">
        <v>3</v>
      </c>
      <c r="J19" s="612"/>
      <c r="K19" s="612">
        <v>3</v>
      </c>
      <c r="L19" s="612"/>
      <c r="M19" s="612">
        <v>4</v>
      </c>
      <c r="N19" s="612"/>
      <c r="O19" s="612">
        <v>5</v>
      </c>
      <c r="P19" s="612"/>
      <c r="Q19" s="685">
        <v>11</v>
      </c>
      <c r="R19" s="686"/>
      <c r="S19" s="44">
        <v>12</v>
      </c>
      <c r="T19" s="44">
        <v>13</v>
      </c>
      <c r="U19" s="44">
        <v>6</v>
      </c>
      <c r="V19" s="44">
        <v>7</v>
      </c>
      <c r="W19" s="44">
        <v>8</v>
      </c>
      <c r="X19" s="25"/>
      <c r="Y19" s="25"/>
    </row>
    <row r="20" spans="1:25" ht="15.75" customHeight="1" hidden="1">
      <c r="A20" s="48">
        <v>1</v>
      </c>
      <c r="B20" s="45">
        <v>0</v>
      </c>
      <c r="C20" s="679">
        <v>0</v>
      </c>
      <c r="D20" s="679"/>
      <c r="E20" s="591"/>
      <c r="F20" s="591"/>
      <c r="G20" s="679"/>
      <c r="H20" s="679"/>
      <c r="I20" s="679"/>
      <c r="J20" s="679"/>
      <c r="K20" s="591"/>
      <c r="L20" s="591"/>
      <c r="M20" s="679"/>
      <c r="N20" s="679"/>
      <c r="O20" s="679"/>
      <c r="P20" s="679"/>
      <c r="Q20" s="687"/>
      <c r="R20" s="687"/>
      <c r="S20" s="45"/>
      <c r="T20" s="45"/>
      <c r="U20" s="45"/>
      <c r="V20" s="45"/>
      <c r="W20" s="158"/>
      <c r="X20" s="25"/>
      <c r="Y20" s="25"/>
    </row>
    <row r="21" spans="1:25" ht="15.75" hidden="1">
      <c r="A21" s="612" t="e">
        <f>'приложение 1.2 2013-2017 тр'!A20:U20</f>
        <v>#REF!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25"/>
      <c r="Y21" s="25"/>
    </row>
    <row r="22" spans="1:25" ht="31.5">
      <c r="A22" s="85">
        <v>1</v>
      </c>
      <c r="B22" s="17" t="str">
        <f>'приложение 1.1 2016-2017 тр'!B23</f>
        <v>Замена электрооборудования трансформаторной подстанции</v>
      </c>
      <c r="C22" s="679"/>
      <c r="D22" s="679"/>
      <c r="E22" s="678"/>
      <c r="F22" s="678"/>
      <c r="G22" s="678"/>
      <c r="H22" s="678"/>
      <c r="I22" s="678"/>
      <c r="J22" s="678"/>
      <c r="K22" s="678" t="s">
        <v>475</v>
      </c>
      <c r="L22" s="678"/>
      <c r="M22" s="678"/>
      <c r="N22" s="678"/>
      <c r="O22" s="680"/>
      <c r="P22" s="682"/>
      <c r="Q22" s="678"/>
      <c r="R22" s="678"/>
      <c r="S22" s="85"/>
      <c r="T22" s="85"/>
      <c r="U22" s="85" t="s">
        <v>475</v>
      </c>
      <c r="V22" s="85"/>
      <c r="W22" s="497"/>
      <c r="X22" s="25"/>
      <c r="Y22" s="25"/>
    </row>
    <row r="23" spans="1:25" ht="31.5">
      <c r="A23" s="85">
        <f>A22+1</f>
        <v>2</v>
      </c>
      <c r="B23" s="17" t="str">
        <f>'приложение 1.1 2016-2017 тр'!B24</f>
        <v>Замена электрооборудования трансформаторной подстанции</v>
      </c>
      <c r="C23" s="679"/>
      <c r="D23" s="679"/>
      <c r="E23" s="678"/>
      <c r="F23" s="678"/>
      <c r="G23" s="678"/>
      <c r="H23" s="678"/>
      <c r="I23" s="678"/>
      <c r="J23" s="678"/>
      <c r="K23" s="680"/>
      <c r="L23" s="682"/>
      <c r="M23" s="678"/>
      <c r="N23" s="678"/>
      <c r="O23" s="678"/>
      <c r="P23" s="678"/>
      <c r="Q23" s="678"/>
      <c r="R23" s="678"/>
      <c r="S23" s="85"/>
      <c r="T23" s="85">
        <f>I23</f>
        <v>0</v>
      </c>
      <c r="U23" s="495"/>
      <c r="V23" s="85"/>
      <c r="W23" s="85"/>
      <c r="X23" s="25"/>
      <c r="Y23" s="25"/>
    </row>
    <row r="24" spans="1:25" ht="31.5">
      <c r="A24" s="85">
        <f aca="true" t="shared" si="0" ref="A24:A34">A23+1</f>
        <v>3</v>
      </c>
      <c r="B24" s="17" t="str">
        <f>'приложение 1.1 2016-2017 тр'!B25</f>
        <v>Замена электрооборудования трансформаторной подстанции</v>
      </c>
      <c r="C24" s="679"/>
      <c r="D24" s="679"/>
      <c r="E24" s="678"/>
      <c r="F24" s="678"/>
      <c r="G24" s="678"/>
      <c r="H24" s="678"/>
      <c r="I24" s="678"/>
      <c r="J24" s="678"/>
      <c r="K24" s="678"/>
      <c r="L24" s="678"/>
      <c r="M24" s="680" t="s">
        <v>488</v>
      </c>
      <c r="N24" s="682"/>
      <c r="O24" s="678"/>
      <c r="P24" s="678"/>
      <c r="Q24" s="678"/>
      <c r="R24" s="678"/>
      <c r="S24" s="85"/>
      <c r="T24" s="85"/>
      <c r="U24" s="85"/>
      <c r="V24" s="85" t="s">
        <v>488</v>
      </c>
      <c r="W24" s="85"/>
      <c r="X24" s="25"/>
      <c r="Y24" s="25"/>
    </row>
    <row r="25" spans="1:25" ht="31.5">
      <c r="A25" s="85">
        <f t="shared" si="0"/>
        <v>4</v>
      </c>
      <c r="B25" s="17" t="str">
        <f>'приложение 1.1 2016-2017 тр'!B26</f>
        <v>Замена электрооборудования трансформаторной подстанции</v>
      </c>
      <c r="C25" s="679"/>
      <c r="D25" s="679"/>
      <c r="E25" s="678"/>
      <c r="F25" s="678"/>
      <c r="G25" s="678"/>
      <c r="H25" s="678"/>
      <c r="I25" s="678"/>
      <c r="J25" s="678"/>
      <c r="K25" s="678"/>
      <c r="L25" s="678"/>
      <c r="M25" s="680"/>
      <c r="N25" s="682"/>
      <c r="O25" s="678"/>
      <c r="P25" s="678"/>
      <c r="Q25" s="678"/>
      <c r="R25" s="678"/>
      <c r="S25" s="85"/>
      <c r="T25" s="85"/>
      <c r="U25" s="85"/>
      <c r="V25" s="495"/>
      <c r="W25" s="85"/>
      <c r="X25" s="25"/>
      <c r="Y25" s="25"/>
    </row>
    <row r="26" spans="1:27" ht="31.5" customHeight="1">
      <c r="A26" s="85">
        <f t="shared" si="0"/>
        <v>5</v>
      </c>
      <c r="B26" s="17" t="str">
        <f>'приложение 1.1 2016-2017 тр'!B27</f>
        <v>Замена электрооборудования трансформаторной подстанции</v>
      </c>
      <c r="C26" s="679"/>
      <c r="D26" s="679"/>
      <c r="E26" s="678"/>
      <c r="F26" s="678"/>
      <c r="G26" s="678"/>
      <c r="H26" s="678"/>
      <c r="I26" s="678"/>
      <c r="J26" s="678"/>
      <c r="K26" s="680" t="s">
        <v>477</v>
      </c>
      <c r="L26" s="681"/>
      <c r="M26" s="680" t="s">
        <v>477</v>
      </c>
      <c r="N26" s="681"/>
      <c r="O26" s="693"/>
      <c r="P26" s="694"/>
      <c r="Q26" s="678"/>
      <c r="R26" s="678"/>
      <c r="S26" s="85"/>
      <c r="T26" s="85"/>
      <c r="U26" s="496" t="s">
        <v>477</v>
      </c>
      <c r="V26" s="496" t="s">
        <v>477</v>
      </c>
      <c r="W26" s="498"/>
      <c r="X26" s="691"/>
      <c r="Y26" s="692"/>
      <c r="Z26" s="25"/>
      <c r="AA26" s="25"/>
    </row>
    <row r="27" spans="1:27" ht="15.75" customHeight="1">
      <c r="A27" s="85">
        <f t="shared" si="0"/>
        <v>6</v>
      </c>
      <c r="B27" s="17" t="str">
        <f>'приложение 1.1 2016-2017 тр'!B28</f>
        <v>Строительство КТПН</v>
      </c>
      <c r="C27" s="679"/>
      <c r="D27" s="679"/>
      <c r="E27" s="678"/>
      <c r="F27" s="678"/>
      <c r="G27" s="678" t="s">
        <v>235</v>
      </c>
      <c r="H27" s="678"/>
      <c r="I27" s="678"/>
      <c r="J27" s="678"/>
      <c r="K27" s="680" t="s">
        <v>477</v>
      </c>
      <c r="L27" s="681"/>
      <c r="M27" s="680"/>
      <c r="N27" s="681"/>
      <c r="O27" s="693"/>
      <c r="P27" s="694"/>
      <c r="Q27" s="678"/>
      <c r="R27" s="678"/>
      <c r="S27" s="85"/>
      <c r="T27" s="85"/>
      <c r="U27" s="496" t="s">
        <v>477</v>
      </c>
      <c r="V27" s="496"/>
      <c r="W27" s="85"/>
      <c r="X27" s="691"/>
      <c r="Y27" s="692"/>
      <c r="Z27" s="25"/>
      <c r="AA27" s="25"/>
    </row>
    <row r="28" spans="1:27" ht="15.75" customHeight="1">
      <c r="A28" s="85">
        <f t="shared" si="0"/>
        <v>7</v>
      </c>
      <c r="B28" s="17" t="str">
        <f>'приложение 1.1 2016-2017 тр'!B29</f>
        <v>Реконструкция 1 секции ЗРУ-6 кВ, РУСН-0.4 кВ</v>
      </c>
      <c r="C28" s="679"/>
      <c r="D28" s="679"/>
      <c r="E28" s="678"/>
      <c r="F28" s="678"/>
      <c r="G28" s="678"/>
      <c r="H28" s="678"/>
      <c r="I28" s="678" t="s">
        <v>235</v>
      </c>
      <c r="J28" s="678"/>
      <c r="K28" s="678"/>
      <c r="L28" s="678"/>
      <c r="M28" s="678"/>
      <c r="N28" s="678"/>
      <c r="O28" s="678"/>
      <c r="P28" s="678"/>
      <c r="Q28" s="678"/>
      <c r="R28" s="678"/>
      <c r="S28" s="85"/>
      <c r="T28" s="85"/>
      <c r="U28" s="85"/>
      <c r="V28" s="85"/>
      <c r="W28" s="85"/>
      <c r="X28" s="691"/>
      <c r="Y28" s="692"/>
      <c r="Z28" s="25"/>
      <c r="AA28" s="25"/>
    </row>
    <row r="29" spans="1:27" ht="15.75" customHeight="1">
      <c r="A29" s="85">
        <f t="shared" si="0"/>
        <v>8</v>
      </c>
      <c r="B29" s="17" t="str">
        <f>'приложение 1.1 2016-2017 тр'!B30</f>
        <v>Реконструкция 2 секции ЗРУ-6 кВ</v>
      </c>
      <c r="C29" s="679"/>
      <c r="D29" s="679"/>
      <c r="E29" s="678"/>
      <c r="F29" s="678"/>
      <c r="G29" s="678"/>
      <c r="H29" s="678"/>
      <c r="I29" s="678" t="s">
        <v>235</v>
      </c>
      <c r="J29" s="678"/>
      <c r="K29" s="678"/>
      <c r="L29" s="678"/>
      <c r="M29" s="678"/>
      <c r="N29" s="678"/>
      <c r="O29" s="678"/>
      <c r="P29" s="678"/>
      <c r="Q29" s="678"/>
      <c r="R29" s="678"/>
      <c r="S29" s="85"/>
      <c r="T29" s="85"/>
      <c r="U29" s="85"/>
      <c r="V29" s="85"/>
      <c r="W29" s="85"/>
      <c r="X29" s="691"/>
      <c r="Y29" s="692"/>
      <c r="Z29" s="25"/>
      <c r="AA29" s="25"/>
    </row>
    <row r="30" spans="1:27" ht="15.75" customHeight="1">
      <c r="A30" s="85">
        <f t="shared" si="0"/>
        <v>9</v>
      </c>
      <c r="B30" s="17" t="str">
        <f>'приложение 1.1 2016-2017 тр'!B31</f>
        <v>Реконструкция РП - 6 кВ </v>
      </c>
      <c r="C30" s="679"/>
      <c r="D30" s="679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85"/>
      <c r="T30" s="85"/>
      <c r="U30" s="85"/>
      <c r="V30" s="85"/>
      <c r="W30" s="85"/>
      <c r="X30" s="691"/>
      <c r="Y30" s="692"/>
      <c r="Z30" s="25"/>
      <c r="AA30" s="25"/>
    </row>
    <row r="31" spans="1:27" ht="39" customHeight="1">
      <c r="A31" s="85">
        <f t="shared" si="0"/>
        <v>10</v>
      </c>
      <c r="B31" s="17" t="str">
        <f>'приложение 1.1 2016-2017 тр'!B33</f>
        <v>Прокладка оптоволоконного кабеля АСУТП</v>
      </c>
      <c r="C31" s="679"/>
      <c r="D31" s="679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85"/>
      <c r="T31" s="85"/>
      <c r="U31" s="85"/>
      <c r="V31" s="85"/>
      <c r="W31" s="136"/>
      <c r="X31" s="691"/>
      <c r="Y31" s="692"/>
      <c r="Z31" s="25"/>
      <c r="AA31" s="25"/>
    </row>
    <row r="32" spans="1:27" ht="15.75" customHeight="1">
      <c r="A32" s="85">
        <f t="shared" si="0"/>
        <v>11</v>
      </c>
      <c r="B32" s="17" t="str">
        <f>'приложение 1.1 2016-2017 тр'!B37</f>
        <v>Реконструкция ВЛ - 6 кВ</v>
      </c>
      <c r="C32" s="679"/>
      <c r="D32" s="679"/>
      <c r="E32" s="678"/>
      <c r="F32" s="678"/>
      <c r="G32" s="678"/>
      <c r="H32" s="678"/>
      <c r="I32" s="678"/>
      <c r="J32" s="678"/>
      <c r="K32" s="678" t="s">
        <v>489</v>
      </c>
      <c r="L32" s="678"/>
      <c r="M32" s="678"/>
      <c r="N32" s="678"/>
      <c r="O32" s="678"/>
      <c r="P32" s="678"/>
      <c r="Q32" s="678"/>
      <c r="R32" s="678"/>
      <c r="S32" s="85"/>
      <c r="T32" s="85"/>
      <c r="U32" s="85"/>
      <c r="V32" s="85"/>
      <c r="W32" s="136"/>
      <c r="X32" s="691"/>
      <c r="Y32" s="692"/>
      <c r="Z32" s="25"/>
      <c r="AA32" s="25"/>
    </row>
    <row r="33" spans="1:27" ht="15.75" customHeight="1">
      <c r="A33" s="85">
        <f t="shared" si="0"/>
        <v>12</v>
      </c>
      <c r="B33" s="17" t="str">
        <f>'приложение 1.1 2016-2017 тр'!B38</f>
        <v>Реконструкция ВЛ - 6 кВ (2 этап)</v>
      </c>
      <c r="C33" s="679"/>
      <c r="D33" s="679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85"/>
      <c r="T33" s="85"/>
      <c r="U33" s="85"/>
      <c r="V33" s="85"/>
      <c r="W33" s="136"/>
      <c r="X33" s="691"/>
      <c r="Y33" s="692"/>
      <c r="Z33" s="25"/>
      <c r="AA33" s="25"/>
    </row>
    <row r="34" spans="1:27" ht="21" customHeight="1">
      <c r="A34" s="85">
        <f t="shared" si="0"/>
        <v>13</v>
      </c>
      <c r="B34" s="17" t="str">
        <f>'приложение 1.1 2016-2017 тр'!B40</f>
        <v>Строительство ТП</v>
      </c>
      <c r="C34" s="679"/>
      <c r="D34" s="679"/>
      <c r="E34" s="678"/>
      <c r="F34" s="678"/>
      <c r="G34" s="678"/>
      <c r="H34" s="678"/>
      <c r="I34" s="678"/>
      <c r="J34" s="678"/>
      <c r="K34" s="678" t="s">
        <v>475</v>
      </c>
      <c r="L34" s="678"/>
      <c r="M34" s="678"/>
      <c r="N34" s="678"/>
      <c r="O34" s="678"/>
      <c r="P34" s="678"/>
      <c r="Q34" s="678"/>
      <c r="R34" s="678"/>
      <c r="S34" s="85"/>
      <c r="T34" s="85"/>
      <c r="U34" s="85" t="s">
        <v>475</v>
      </c>
      <c r="V34" s="85"/>
      <c r="W34" s="85"/>
      <c r="X34" s="695"/>
      <c r="Y34" s="696"/>
      <c r="Z34" s="25"/>
      <c r="AA34" s="25"/>
    </row>
    <row r="35" spans="1:25" ht="15.75">
      <c r="A35" s="192"/>
      <c r="B35" s="179"/>
      <c r="C35" s="193"/>
      <c r="D35" s="193"/>
      <c r="E35" s="193"/>
      <c r="F35" s="193"/>
      <c r="G35" s="193"/>
      <c r="H35" s="193"/>
      <c r="I35" s="193"/>
      <c r="J35" s="193"/>
      <c r="K35" s="192"/>
      <c r="L35" s="192"/>
      <c r="M35" s="193"/>
      <c r="N35" s="193"/>
      <c r="O35" s="192"/>
      <c r="P35" s="192"/>
      <c r="Q35" s="193"/>
      <c r="R35" s="193"/>
      <c r="S35" s="194"/>
      <c r="T35" s="191"/>
      <c r="U35" s="25"/>
      <c r="V35" s="25"/>
      <c r="W35" s="191"/>
      <c r="X35" s="192"/>
      <c r="Y35" s="192"/>
    </row>
    <row r="36" spans="1:25" ht="15.75">
      <c r="A36" s="192"/>
      <c r="B36" s="179"/>
      <c r="C36" s="193"/>
      <c r="D36" s="193"/>
      <c r="E36" s="193"/>
      <c r="F36" s="193"/>
      <c r="G36" s="193"/>
      <c r="H36" s="193"/>
      <c r="I36" s="193"/>
      <c r="J36" s="193"/>
      <c r="K36" s="192"/>
      <c r="L36" s="192"/>
      <c r="M36" s="193"/>
      <c r="N36" s="193"/>
      <c r="O36" s="192"/>
      <c r="P36" s="192"/>
      <c r="Q36" s="193"/>
      <c r="R36" s="193"/>
      <c r="S36" s="194"/>
      <c r="T36" s="191"/>
      <c r="U36" s="25"/>
      <c r="V36" s="25"/>
      <c r="W36" s="191"/>
      <c r="X36" s="192"/>
      <c r="Y36" s="192"/>
    </row>
    <row r="37" spans="1:25" ht="15.75">
      <c r="A37" s="192"/>
      <c r="B37" s="179"/>
      <c r="C37" s="193"/>
      <c r="D37" s="193"/>
      <c r="E37" s="193"/>
      <c r="F37" s="193"/>
      <c r="G37" s="193"/>
      <c r="H37" s="193"/>
      <c r="I37" s="193"/>
      <c r="J37" s="193"/>
      <c r="K37" s="192"/>
      <c r="L37" s="192"/>
      <c r="M37" s="193"/>
      <c r="N37" s="193"/>
      <c r="O37" s="192"/>
      <c r="P37" s="192"/>
      <c r="Q37" s="193"/>
      <c r="R37" s="193"/>
      <c r="S37" s="194"/>
      <c r="T37" s="191"/>
      <c r="U37" s="25"/>
      <c r="V37" s="25"/>
      <c r="W37" s="191"/>
      <c r="X37" s="192"/>
      <c r="Y37" s="192"/>
    </row>
    <row r="38" spans="1:25" ht="15.75">
      <c r="A38" s="192"/>
      <c r="B38" s="179"/>
      <c r="C38" s="193"/>
      <c r="D38" s="193"/>
      <c r="E38" s="193"/>
      <c r="F38" s="193"/>
      <c r="G38" s="193"/>
      <c r="H38" s="193"/>
      <c r="I38" s="193"/>
      <c r="J38" s="193"/>
      <c r="K38" s="192"/>
      <c r="L38" s="192"/>
      <c r="M38" s="193"/>
      <c r="N38" s="193"/>
      <c r="O38" s="192"/>
      <c r="P38" s="192"/>
      <c r="Q38" s="193"/>
      <c r="R38" s="193"/>
      <c r="S38" s="194"/>
      <c r="T38" s="191"/>
      <c r="U38" s="25"/>
      <c r="V38" s="25"/>
      <c r="W38" s="191"/>
      <c r="X38" s="192"/>
      <c r="Y38" s="192"/>
    </row>
    <row r="39" spans="2:23" ht="38.25" customHeight="1">
      <c r="B39" s="585" t="s">
        <v>230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V39" s="683" t="s">
        <v>231</v>
      </c>
      <c r="W39" s="683"/>
    </row>
    <row r="40" spans="1:20" ht="48.75" customHeight="1" hidden="1">
      <c r="A40" s="1"/>
      <c r="B40" s="607" t="s">
        <v>230</v>
      </c>
      <c r="C40" s="607"/>
      <c r="D40" s="569"/>
      <c r="E40" s="569"/>
      <c r="F40" s="569"/>
      <c r="G40" s="569"/>
      <c r="H40" s="569"/>
      <c r="I40" s="569"/>
      <c r="J40" s="221"/>
      <c r="K40" s="222"/>
      <c r="L40" s="222"/>
      <c r="M40" s="222"/>
      <c r="N40" s="222"/>
      <c r="O40" s="222"/>
      <c r="P40" s="222"/>
      <c r="Q40" s="222"/>
      <c r="R40" s="604" t="s">
        <v>231</v>
      </c>
      <c r="S40" s="604"/>
      <c r="T40" s="604"/>
    </row>
    <row r="41" ht="40.5" customHeight="1"/>
  </sheetData>
  <sheetProtection/>
  <mergeCells count="157">
    <mergeCell ref="A13:W13"/>
    <mergeCell ref="O8:W8"/>
    <mergeCell ref="P6:W6"/>
    <mergeCell ref="B39:P39"/>
    <mergeCell ref="V39:W39"/>
    <mergeCell ref="B40:I40"/>
    <mergeCell ref="K29:L29"/>
    <mergeCell ref="M30:N30"/>
    <mergeCell ref="O30:P30"/>
    <mergeCell ref="K32:L32"/>
    <mergeCell ref="M32:N32"/>
    <mergeCell ref="Q25:R25"/>
    <mergeCell ref="X26:Y26"/>
    <mergeCell ref="X34:Y34"/>
    <mergeCell ref="X33:Y33"/>
    <mergeCell ref="O34:P34"/>
    <mergeCell ref="M33:N33"/>
    <mergeCell ref="O33:P33"/>
    <mergeCell ref="Q33:R33"/>
    <mergeCell ref="Q27:R27"/>
    <mergeCell ref="X31:Y31"/>
    <mergeCell ref="O27:P27"/>
    <mergeCell ref="M31:N31"/>
    <mergeCell ref="X27:Y27"/>
    <mergeCell ref="K30:L30"/>
    <mergeCell ref="K27:L27"/>
    <mergeCell ref="Q29:R29"/>
    <mergeCell ref="X30:Y30"/>
    <mergeCell ref="X29:Y29"/>
    <mergeCell ref="X28:Y28"/>
    <mergeCell ref="E34:F34"/>
    <mergeCell ref="G34:H34"/>
    <mergeCell ref="I34:J34"/>
    <mergeCell ref="E33:F33"/>
    <mergeCell ref="E32:F32"/>
    <mergeCell ref="Q26:R26"/>
    <mergeCell ref="K31:L31"/>
    <mergeCell ref="O29:P29"/>
    <mergeCell ref="K26:L26"/>
    <mergeCell ref="M26:N26"/>
    <mergeCell ref="Q23:R23"/>
    <mergeCell ref="O24:P24"/>
    <mergeCell ref="G32:H32"/>
    <mergeCell ref="I32:J32"/>
    <mergeCell ref="K28:L28"/>
    <mergeCell ref="X32:Y32"/>
    <mergeCell ref="O32:P32"/>
    <mergeCell ref="O26:P26"/>
    <mergeCell ref="Q30:R30"/>
    <mergeCell ref="M29:N29"/>
    <mergeCell ref="K33:L33"/>
    <mergeCell ref="E31:F31"/>
    <mergeCell ref="G19:H19"/>
    <mergeCell ref="Q32:R32"/>
    <mergeCell ref="K34:L34"/>
    <mergeCell ref="G33:H33"/>
    <mergeCell ref="M19:N19"/>
    <mergeCell ref="Q22:R22"/>
    <mergeCell ref="M20:N20"/>
    <mergeCell ref="M28:N28"/>
    <mergeCell ref="Q17:W17"/>
    <mergeCell ref="M18:N18"/>
    <mergeCell ref="K20:L20"/>
    <mergeCell ref="M23:N23"/>
    <mergeCell ref="O23:P23"/>
    <mergeCell ref="K19:L19"/>
    <mergeCell ref="O22:P22"/>
    <mergeCell ref="Q18:R18"/>
    <mergeCell ref="O18:P18"/>
    <mergeCell ref="O19:P19"/>
    <mergeCell ref="Q19:R19"/>
    <mergeCell ref="Q20:R20"/>
    <mergeCell ref="M22:N22"/>
    <mergeCell ref="K22:L22"/>
    <mergeCell ref="A16:A18"/>
    <mergeCell ref="G18:H18"/>
    <mergeCell ref="I18:J18"/>
    <mergeCell ref="C18:D18"/>
    <mergeCell ref="E18:F18"/>
    <mergeCell ref="Q16:W16"/>
    <mergeCell ref="C34:D34"/>
    <mergeCell ref="C27:D27"/>
    <mergeCell ref="C28:D28"/>
    <mergeCell ref="C30:D30"/>
    <mergeCell ref="C33:D33"/>
    <mergeCell ref="I19:J19"/>
    <mergeCell ref="C19:D19"/>
    <mergeCell ref="I33:J33"/>
    <mergeCell ref="E19:F19"/>
    <mergeCell ref="E22:F22"/>
    <mergeCell ref="G30:H30"/>
    <mergeCell ref="G31:H31"/>
    <mergeCell ref="C16:P16"/>
    <mergeCell ref="C17:P17"/>
    <mergeCell ref="B16:B18"/>
    <mergeCell ref="K18:L18"/>
    <mergeCell ref="C22:D22"/>
    <mergeCell ref="C20:D20"/>
    <mergeCell ref="G22:H22"/>
    <mergeCell ref="O28:P28"/>
    <mergeCell ref="E20:F20"/>
    <mergeCell ref="C24:D24"/>
    <mergeCell ref="E24:F24"/>
    <mergeCell ref="E23:F23"/>
    <mergeCell ref="C32:D32"/>
    <mergeCell ref="C23:D23"/>
    <mergeCell ref="E26:F26"/>
    <mergeCell ref="C31:D31"/>
    <mergeCell ref="E25:F25"/>
    <mergeCell ref="C26:D26"/>
    <mergeCell ref="G29:H29"/>
    <mergeCell ref="E29:F29"/>
    <mergeCell ref="G24:H24"/>
    <mergeCell ref="G26:H26"/>
    <mergeCell ref="C25:D25"/>
    <mergeCell ref="G23:H23"/>
    <mergeCell ref="G25:H25"/>
    <mergeCell ref="E28:F28"/>
    <mergeCell ref="G27:H27"/>
    <mergeCell ref="C29:D29"/>
    <mergeCell ref="I25:J25"/>
    <mergeCell ref="I24:J24"/>
    <mergeCell ref="I23:J23"/>
    <mergeCell ref="I20:J20"/>
    <mergeCell ref="K23:L23"/>
    <mergeCell ref="I22:J22"/>
    <mergeCell ref="K25:L25"/>
    <mergeCell ref="T9:W9"/>
    <mergeCell ref="E27:F27"/>
    <mergeCell ref="I30:J30"/>
    <mergeCell ref="I28:J28"/>
    <mergeCell ref="I31:J31"/>
    <mergeCell ref="E30:F30"/>
    <mergeCell ref="I27:J27"/>
    <mergeCell ref="I29:J29"/>
    <mergeCell ref="G20:H20"/>
    <mergeCell ref="K24:L24"/>
    <mergeCell ref="U5:W5"/>
    <mergeCell ref="T1:W1"/>
    <mergeCell ref="Q24:R24"/>
    <mergeCell ref="R40:T40"/>
    <mergeCell ref="M34:N34"/>
    <mergeCell ref="Q34:R34"/>
    <mergeCell ref="O31:P31"/>
    <mergeCell ref="Q31:R31"/>
    <mergeCell ref="A12:W12"/>
    <mergeCell ref="T7:W7"/>
    <mergeCell ref="G28:H28"/>
    <mergeCell ref="A3:E3"/>
    <mergeCell ref="O25:P25"/>
    <mergeCell ref="O20:P20"/>
    <mergeCell ref="A21:W21"/>
    <mergeCell ref="Q28:R28"/>
    <mergeCell ref="M27:N27"/>
    <mergeCell ref="I26:J26"/>
    <mergeCell ref="M24:N24"/>
    <mergeCell ref="M25:N25"/>
  </mergeCells>
  <printOptions/>
  <pageMargins left="0.51" right="0.1968503937007874" top="0.2362204724409449" bottom="0.15748031496062992" header="0.1968503937007874" footer="0.15748031496062992"/>
  <pageSetup fitToHeight="0" fitToWidth="1" horizontalDpi="600" verticalDpi="600" orientation="portrait" paperSize="9" scale="89" r:id="rId1"/>
  <rowBreaks count="1" manualBreakCount="1">
    <brk id="4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2017-04-04T00:33:40Z</cp:lastPrinted>
  <dcterms:created xsi:type="dcterms:W3CDTF">2010-06-09T23:39:59Z</dcterms:created>
  <dcterms:modified xsi:type="dcterms:W3CDTF">2017-04-04T04:48:33Z</dcterms:modified>
  <cp:category/>
  <cp:version/>
  <cp:contentType/>
  <cp:contentStatus/>
</cp:coreProperties>
</file>